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gregat_rkw" sheetId="1" r:id="rId1"/>
  </sheets>
  <definedNames/>
  <calcPr fullCalcOnLoad="1"/>
</workbook>
</file>

<file path=xl/sharedStrings.xml><?xml version="1.0" encoding="utf-8"?>
<sst xmlns="http://schemas.openxmlformats.org/spreadsheetml/2006/main" count="170" uniqueCount="43">
  <si>
    <t>Wybory posłów do Parlamentu Europejskiego zarządzone na 25 maja 2014 r.</t>
  </si>
  <si>
    <t>Rejonowa Komisja Wyborcza w Chełmie</t>
  </si>
  <si>
    <t xml:space="preserve">     </t>
  </si>
  <si>
    <t> </t>
  </si>
  <si>
    <t>Lp.</t>
  </si>
  <si>
    <t>Kod terytorialny gminy</t>
  </si>
  <si>
    <t>Gmina</t>
  </si>
  <si>
    <t>Powiat</t>
  </si>
  <si>
    <t>Województwo</t>
  </si>
  <si>
    <t>Nr obwodu głosowania</t>
  </si>
  <si>
    <t>Siedziba Obwodowej Komisji Wyborczej</t>
  </si>
  <si>
    <t>Liczba wyborców uprawnionych do głosowania</t>
  </si>
  <si>
    <t>w tym umieszczonych w części A spisu wyborców</t>
  </si>
  <si>
    <t>w tym umieszczonych w części B spisu wyborców</t>
  </si>
  <si>
    <t>Komisja otrzymała kart do głosowania</t>
  </si>
  <si>
    <t>Nie wykorzystano kart do głosowania</t>
  </si>
  <si>
    <t>Liczba wyborców, którym wydano karty do głosowania</t>
  </si>
  <si>
    <t>w tym w części A spisu wyborców</t>
  </si>
  <si>
    <t>w tym w części B spisu wyborców</t>
  </si>
  <si>
    <t>Liczba wyborców głosujących przez pełnomocnika</t>
  </si>
  <si>
    <t>Liczba wyborców głosujących na podstawie zaświadczenia o prawie do głosowania</t>
  </si>
  <si>
    <t>Liczba wyborców, którym wysłano pakiety wyborcze</t>
  </si>
  <si>
    <t>Liczba otrzymanych kopert zwrotnych</t>
  </si>
  <si>
    <t>Liczba kopert zwrotnych, w których nie było oświadczenia o osobistym i tajnym głosowaniu</t>
  </si>
  <si>
    <t>Liczba kopert zwrotnych, w których oswiadczenie nie było podpisane przez wyborcę</t>
  </si>
  <si>
    <t>Liczba kopert zwrotnych, w których nie było koperty na kartę do głosowania</t>
  </si>
  <si>
    <t>Liczba kopert zwrotnych, w których znajdowała sie niezaklejona koperta na kartę do głosowania</t>
  </si>
  <si>
    <t>Liczba kopert na kartę do głosowania wrzuconych do urny</t>
  </si>
  <si>
    <t>Liczba kart wyjętych z urny</t>
  </si>
  <si>
    <t>w tym liczba kart wyjętych z kopert na karty do głosowania</t>
  </si>
  <si>
    <t>Liczba kart nieważnych</t>
  </si>
  <si>
    <t>Liczba kart ważnych</t>
  </si>
  <si>
    <t>Liczba głosów nieważnych</t>
  </si>
  <si>
    <t>Liczba głosów ważnych oddanych łącznie na wszystkie listy kandydatów</t>
  </si>
  <si>
    <t>Liczba głosów ważnych oddanych na listę</t>
  </si>
  <si>
    <t>Razem</t>
  </si>
  <si>
    <t>="Centrum Aktywności Społeczno-Gospodarczej Stara Kotłownia", ul. Wschodnia 32, Rejowiec Fabryczny, Majdan, 22-170 Rejowiec Fabryczny"""</t>
  </si>
  <si>
    <t>="Środowiskowy Dom Samopomocy Cytrynka" w Dorohusku, ul.I Armii Wojska Polskiego 25, Dorohusk-Osada, 22-175 Dorohusk"""</t>
  </si>
  <si>
    <t>="Klub CHAESEMUS" Chełmskiej Spółdzielni Mieszkaniowej, ul. Starościńska 4a, 22-100 Chełm"""</t>
  </si>
  <si>
    <t>="Niepubliczne Przedszkole Integracyjne W Kasztanowym Parku", ul. Lubelska 4, 22-100 Chełm"""</t>
  </si>
  <si>
    <t>="Przedszkole Niepubliczne z Oddziałami Integracyjnymi Razem", ul. Botaniczna 16, 22-100 Chełm"""</t>
  </si>
  <si>
    <t>="Centrum Handlowe Wschód" S.A., ul. Hrubieszowska 102, 22-100 Chełm"""</t>
  </si>
  <si>
    <t>="Spółdzielnia Mieszkaniowaj Bazylany", Aleja 3 Maja 6, 22-100 Chełm"""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</si>
</sst>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T272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4" spans="21:150" ht="12.75">
      <c r="U4" t="s">
        <v>2</v>
      </c>
      <c r="AE4" t="str">
        <f>"Lista nr 1 — KW Solidarna Polska Zbigniewa Ziobro"</f>
        <v>Lista nr 1 — KW Solidarna Polska Zbigniewa Ziobro</v>
      </c>
      <c r="AF4" t="s">
        <v>3</v>
      </c>
      <c r="AG4" t="s">
        <v>3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3</v>
      </c>
      <c r="AN4" t="s">
        <v>3</v>
      </c>
      <c r="AO4" t="s">
        <v>3</v>
      </c>
      <c r="AP4" t="s">
        <v>3</v>
      </c>
      <c r="AQ4" t="str">
        <f>"Lista nr 2 — Komitet Wyborczy Wyborców Ruch Narodowy"</f>
        <v>Lista nr 2 — Komitet Wyborczy Wyborców Ruch Narodowy</v>
      </c>
      <c r="AR4" t="s">
        <v>3</v>
      </c>
      <c r="AS4" t="s">
        <v>3</v>
      </c>
      <c r="AT4" t="s">
        <v>3</v>
      </c>
      <c r="AU4" t="s">
        <v>3</v>
      </c>
      <c r="AV4" t="s">
        <v>3</v>
      </c>
      <c r="AW4" t="s">
        <v>3</v>
      </c>
      <c r="AX4" t="s">
        <v>3</v>
      </c>
      <c r="AY4" t="s">
        <v>3</v>
      </c>
      <c r="AZ4" t="s">
        <v>3</v>
      </c>
      <c r="BA4" t="s">
        <v>3</v>
      </c>
      <c r="BB4" t="s">
        <v>3</v>
      </c>
      <c r="BC4" t="str">
        <f>"Lista nr 3 — KKW SLD-UP"</f>
        <v>Lista nr 3 — KKW SLD-UP</v>
      </c>
      <c r="BD4" t="s">
        <v>3</v>
      </c>
      <c r="BE4" t="s">
        <v>3</v>
      </c>
      <c r="BF4" t="s">
        <v>3</v>
      </c>
      <c r="BG4" t="s">
        <v>3</v>
      </c>
      <c r="BH4" t="s">
        <v>3</v>
      </c>
      <c r="BI4" t="s">
        <v>3</v>
      </c>
      <c r="BJ4" t="s">
        <v>3</v>
      </c>
      <c r="BK4" t="s">
        <v>3</v>
      </c>
      <c r="BL4" t="s">
        <v>3</v>
      </c>
      <c r="BM4" t="s">
        <v>3</v>
      </c>
      <c r="BN4" t="s">
        <v>3</v>
      </c>
      <c r="BO4" t="str">
        <f>"Lista nr 4 — Komitet Wyborczy Prawo i Sprawiedliwość"</f>
        <v>Lista nr 4 — Komitet Wyborczy Prawo i Sprawiedliwość</v>
      </c>
      <c r="BP4" t="s">
        <v>3</v>
      </c>
      <c r="BQ4" t="s">
        <v>3</v>
      </c>
      <c r="BR4" t="s">
        <v>3</v>
      </c>
      <c r="BS4" t="s">
        <v>3</v>
      </c>
      <c r="BT4" t="s">
        <v>3</v>
      </c>
      <c r="BU4" t="s">
        <v>3</v>
      </c>
      <c r="BV4" t="s">
        <v>3</v>
      </c>
      <c r="BW4" t="s">
        <v>3</v>
      </c>
      <c r="BX4" t="s">
        <v>3</v>
      </c>
      <c r="BY4" t="s">
        <v>3</v>
      </c>
      <c r="BZ4" t="s">
        <v>3</v>
      </c>
      <c r="CA4" t="str">
        <f>"Lista nr 5 — KKW Europa Plus Twój Ruch"</f>
        <v>Lista nr 5 — KKW Europa Plus Twój Ruch</v>
      </c>
      <c r="CB4" t="s">
        <v>3</v>
      </c>
      <c r="CC4" t="s">
        <v>3</v>
      </c>
      <c r="CD4" t="s">
        <v>3</v>
      </c>
      <c r="CE4" t="s">
        <v>3</v>
      </c>
      <c r="CF4" t="s">
        <v>3</v>
      </c>
      <c r="CG4" t="s">
        <v>3</v>
      </c>
      <c r="CH4" t="s">
        <v>3</v>
      </c>
      <c r="CI4" t="s">
        <v>3</v>
      </c>
      <c r="CJ4" t="s">
        <v>3</v>
      </c>
      <c r="CK4" t="s">
        <v>3</v>
      </c>
      <c r="CL4" t="s">
        <v>3</v>
      </c>
      <c r="CM4" t="str">
        <f>"Lista nr 6 — KW Polska Razem Jarosława Gowina"</f>
        <v>Lista nr 6 — KW Polska Razem Jarosława Gowina</v>
      </c>
      <c r="CN4" t="s">
        <v>3</v>
      </c>
      <c r="CO4" t="s">
        <v>3</v>
      </c>
      <c r="CP4" t="s">
        <v>3</v>
      </c>
      <c r="CQ4" t="s">
        <v>3</v>
      </c>
      <c r="CR4" t="s">
        <v>3</v>
      </c>
      <c r="CS4" t="s">
        <v>3</v>
      </c>
      <c r="CT4" t="s">
        <v>3</v>
      </c>
      <c r="CU4" t="s">
        <v>3</v>
      </c>
      <c r="CV4" t="s">
        <v>3</v>
      </c>
      <c r="CW4" t="s">
        <v>3</v>
      </c>
      <c r="CX4" t="s">
        <v>3</v>
      </c>
      <c r="CY4" t="str">
        <f>"Lista nr 7 — KW Nowa Prawica – Janusza Korwin-Mikke"</f>
        <v>Lista nr 7 — KW Nowa Prawica – Janusza Korwin-Mikke</v>
      </c>
      <c r="CZ4" t="s">
        <v>3</v>
      </c>
      <c r="DA4" t="s">
        <v>3</v>
      </c>
      <c r="DB4" t="s">
        <v>3</v>
      </c>
      <c r="DC4" t="s">
        <v>3</v>
      </c>
      <c r="DD4" t="s">
        <v>3</v>
      </c>
      <c r="DE4" t="s">
        <v>3</v>
      </c>
      <c r="DF4" t="s">
        <v>3</v>
      </c>
      <c r="DG4" t="s">
        <v>3</v>
      </c>
      <c r="DH4" t="s">
        <v>3</v>
      </c>
      <c r="DI4" t="s">
        <v>3</v>
      </c>
      <c r="DJ4" t="s">
        <v>3</v>
      </c>
      <c r="DK4" t="str">
        <f>"Lista nr 8 — KW Platforma Obywatelska RP"</f>
        <v>Lista nr 8 — KW Platforma Obywatelska RP</v>
      </c>
      <c r="DL4" t="s">
        <v>3</v>
      </c>
      <c r="DM4" t="s">
        <v>3</v>
      </c>
      <c r="DN4" t="s">
        <v>3</v>
      </c>
      <c r="DO4" t="s">
        <v>3</v>
      </c>
      <c r="DP4" t="s">
        <v>3</v>
      </c>
      <c r="DQ4" t="s">
        <v>3</v>
      </c>
      <c r="DR4" t="s">
        <v>3</v>
      </c>
      <c r="DS4" t="s">
        <v>3</v>
      </c>
      <c r="DT4" t="s">
        <v>3</v>
      </c>
      <c r="DU4" t="s">
        <v>3</v>
      </c>
      <c r="DV4" t="s">
        <v>3</v>
      </c>
      <c r="DW4" t="str">
        <f>"Lista nr 9 — Komitet Wyborczy PSL"</f>
        <v>Lista nr 9 — Komitet Wyborczy PSL</v>
      </c>
      <c r="DX4" t="s">
        <v>3</v>
      </c>
      <c r="DY4" t="s">
        <v>3</v>
      </c>
      <c r="DZ4" t="s">
        <v>3</v>
      </c>
      <c r="EA4" t="s">
        <v>3</v>
      </c>
      <c r="EB4" t="s">
        <v>3</v>
      </c>
      <c r="EC4" t="s">
        <v>3</v>
      </c>
      <c r="ED4" t="s">
        <v>3</v>
      </c>
      <c r="EE4" t="s">
        <v>3</v>
      </c>
      <c r="EF4" t="s">
        <v>3</v>
      </c>
      <c r="EG4" t="s">
        <v>3</v>
      </c>
      <c r="EH4" t="s">
        <v>3</v>
      </c>
      <c r="EI4" t="str">
        <f>"Lista nr 10 — Komitet Wyborczy Demokracja Bezpośrednia"</f>
        <v>Lista nr 10 — Komitet Wyborczy Demokracja Bezpośrednia</v>
      </c>
      <c r="EJ4" t="s">
        <v>3</v>
      </c>
      <c r="EK4" t="s">
        <v>3</v>
      </c>
      <c r="EL4" t="s">
        <v>3</v>
      </c>
      <c r="EM4" t="s">
        <v>3</v>
      </c>
      <c r="EN4" t="s">
        <v>3</v>
      </c>
      <c r="EO4" t="s">
        <v>3</v>
      </c>
      <c r="EP4" t="s">
        <v>3</v>
      </c>
      <c r="EQ4" t="s">
        <v>3</v>
      </c>
      <c r="ER4" t="s">
        <v>3</v>
      </c>
      <c r="ES4" t="s">
        <v>3</v>
      </c>
      <c r="ET4" t="s">
        <v>3</v>
      </c>
    </row>
    <row r="5" spans="1:150" ht="12.75">
      <c r="A5" t="s">
        <v>4</v>
      </c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K5" t="s">
        <v>14</v>
      </c>
      <c r="L5" t="s">
        <v>15</v>
      </c>
      <c r="M5" t="s">
        <v>16</v>
      </c>
      <c r="N5" t="s">
        <v>17</v>
      </c>
      <c r="O5" t="s">
        <v>18</v>
      </c>
      <c r="P5" t="s">
        <v>19</v>
      </c>
      <c r="Q5" t="s">
        <v>20</v>
      </c>
      <c r="R5" t="s">
        <v>21</v>
      </c>
      <c r="S5" t="s">
        <v>22</v>
      </c>
      <c r="T5" t="s">
        <v>23</v>
      </c>
      <c r="U5" t="s">
        <v>24</v>
      </c>
      <c r="V5" t="s">
        <v>25</v>
      </c>
      <c r="W5" t="s">
        <v>26</v>
      </c>
      <c r="X5" t="s">
        <v>27</v>
      </c>
      <c r="Y5" t="s">
        <v>28</v>
      </c>
      <c r="Z5" t="s">
        <v>29</v>
      </c>
      <c r="AA5" t="s">
        <v>30</v>
      </c>
      <c r="AB5" t="s">
        <v>31</v>
      </c>
      <c r="AC5" t="s">
        <v>32</v>
      </c>
      <c r="AD5" t="s">
        <v>33</v>
      </c>
      <c r="AE5" t="s">
        <v>34</v>
      </c>
      <c r="AF5" t="str">
        <f>"ŻACZEK Jarosław"</f>
        <v>ŻACZEK Jarosław</v>
      </c>
      <c r="AG5" t="str">
        <f>"BENDER-MOTYKA Bogna Maria"</f>
        <v>BENDER-MOTYKA Bogna Maria</v>
      </c>
      <c r="AH5" t="str">
        <f>"KAWA Franciszek Wiesław"</f>
        <v>KAWA Franciszek Wiesław</v>
      </c>
      <c r="AI5" t="str">
        <f>"MURAT Krystyna Anna"</f>
        <v>MURAT Krystyna Anna</v>
      </c>
      <c r="AJ5" t="str">
        <f>"SZAWARSKA Janina"</f>
        <v>SZAWARSKA Janina</v>
      </c>
      <c r="AK5" t="str">
        <f>"LIPKA Grzegorz Jerzy"</f>
        <v>LIPKA Grzegorz Jerzy</v>
      </c>
      <c r="AL5" t="str">
        <f>"GARBACZ Maria Halina"</f>
        <v>GARBACZ Maria Halina</v>
      </c>
      <c r="AM5" t="str">
        <f>"STRZELECKA Magdalena Natalia"</f>
        <v>STRZELECKA Magdalena Natalia</v>
      </c>
      <c r="AN5" t="str">
        <f>"DUBIEL Jacek"</f>
        <v>DUBIEL Jacek</v>
      </c>
      <c r="AO5" t="str">
        <f>"KOZIEŁ Krzysztof"</f>
        <v>KOZIEŁ Krzysztof</v>
      </c>
      <c r="AP5" t="s">
        <v>35</v>
      </c>
      <c r="AQ5" t="s">
        <v>34</v>
      </c>
      <c r="AR5" t="str">
        <f>"KOWALSKI Marian Janusz"</f>
        <v>KOWALSKI Marian Janusz</v>
      </c>
      <c r="AS5" t="str">
        <f>"WIŚLIŃSKA Natalia Anna"</f>
        <v>WIŚLIŃSKA Natalia Anna</v>
      </c>
      <c r="AT5" t="str">
        <f>"PODSTAWKA Karol"</f>
        <v>PODSTAWKA Karol</v>
      </c>
      <c r="AU5" t="str">
        <f>"BUJAŁA Adriana Iwona"</f>
        <v>BUJAŁA Adriana Iwona</v>
      </c>
      <c r="AV5" t="str">
        <f>"ŚWISZCZ Józef Wojciech"</f>
        <v>ŚWISZCZ Józef Wojciech</v>
      </c>
      <c r="AW5" t="str">
        <f>"OKOŃ Olga"</f>
        <v>OKOŃ Olga</v>
      </c>
      <c r="AX5" t="str">
        <f>"WUCZKO Tomasz"</f>
        <v>WUCZKO Tomasz</v>
      </c>
      <c r="AY5" t="str">
        <f>"SMOLAK Monika"</f>
        <v>SMOLAK Monika</v>
      </c>
      <c r="AZ5" t="str">
        <f>"PEŁKA Jarosław"</f>
        <v>PEŁKA Jarosław</v>
      </c>
      <c r="BA5" t="str">
        <f>"ROWIŃSKI Wojciech"</f>
        <v>ROWIŃSKI Wojciech</v>
      </c>
      <c r="BB5" t="s">
        <v>35</v>
      </c>
      <c r="BC5" t="s">
        <v>34</v>
      </c>
      <c r="BD5" t="str">
        <f>"CZERNIAK Jacek Andrzej"</f>
        <v>CZERNIAK Jacek Andrzej</v>
      </c>
      <c r="BE5" t="str">
        <f>"GOŁAWSKA Kazimiera"</f>
        <v>GOŁAWSKA Kazimiera</v>
      </c>
      <c r="BF5" t="str">
        <f>"KURZĘPA Irena"</f>
        <v>KURZĘPA Irena</v>
      </c>
      <c r="BG5" t="str">
        <f>"GŁOWIŃSKI Grzegorz Lucjan"</f>
        <v>GŁOWIŃSKI Grzegorz Lucjan</v>
      </c>
      <c r="BH5" t="str">
        <f>"CICHOSZ Wacław"</f>
        <v>CICHOSZ Wacław</v>
      </c>
      <c r="BI5" t="str">
        <f>"KOWALEWSKA Małgorzata Elżbieta"</f>
        <v>KOWALEWSKA Małgorzata Elżbieta</v>
      </c>
      <c r="BJ5" t="str">
        <f>"SZYMAŃSKI Adam"</f>
        <v>SZYMAŃSKI Adam</v>
      </c>
      <c r="BK5" t="str">
        <f>"CZARNACKA Agata Alicja"</f>
        <v>CZARNACKA Agata Alicja</v>
      </c>
      <c r="BL5" t="str">
        <f>"STACHURA Rafał Artur"</f>
        <v>STACHURA Rafał Artur</v>
      </c>
      <c r="BM5" t="str">
        <f>"MIAROWSKA Gertruda Gabriela"</f>
        <v>MIAROWSKA Gertruda Gabriela</v>
      </c>
      <c r="BN5" t="s">
        <v>35</v>
      </c>
      <c r="BO5" t="s">
        <v>34</v>
      </c>
      <c r="BP5" t="str">
        <f>"PARUCH Waldemar"</f>
        <v>PARUCH Waldemar</v>
      </c>
      <c r="BQ5" t="str">
        <f>"PIOTROWSKI Mirosław Mariusz"</f>
        <v>PIOTROWSKI Mirosław Mariusz</v>
      </c>
      <c r="BR5" t="str">
        <f>"ZAWIŚLAK Sławomir"</f>
        <v>ZAWIŚLAK Sławomir</v>
      </c>
      <c r="BS5" t="str">
        <f>"MAZUREK Beata"</f>
        <v>MAZUREK Beata</v>
      </c>
      <c r="BT5" t="str">
        <f>"GORAJEK Beata Anna"</f>
        <v>GORAJEK Beata Anna</v>
      </c>
      <c r="BU5" t="str">
        <f>"DUMKIEWICZ-SPRAWKA Ewa"</f>
        <v>DUMKIEWICZ-SPRAWKA Ewa</v>
      </c>
      <c r="BV5" t="str">
        <f>"ABRAMOWICZ Adam Krzysztof"</f>
        <v>ABRAMOWICZ Adam Krzysztof</v>
      </c>
      <c r="BW5" t="str">
        <f>"PODKAŃSKI Zdzisław Zbigniew"</f>
        <v>PODKAŃSKI Zdzisław Zbigniew</v>
      </c>
      <c r="BX5" t="str">
        <f>"STAWIARSKI Jarosław Piotr"</f>
        <v>STAWIARSKI Jarosław Piotr</v>
      </c>
      <c r="BY5" t="str">
        <f>"SADURSKA Małgorzata Barbara"</f>
        <v>SADURSKA Małgorzata Barbara</v>
      </c>
      <c r="BZ5" t="s">
        <v>35</v>
      </c>
      <c r="CA5" t="s">
        <v>34</v>
      </c>
      <c r="CB5" t="str">
        <f>"NOWACKA Barbara Anna"</f>
        <v>NOWACKA Barbara Anna</v>
      </c>
      <c r="CC5" t="str">
        <f>"KURCZUK Grzegorz"</f>
        <v>KURCZUK Grzegorz</v>
      </c>
      <c r="CD5" t="str">
        <f>"POLZ-GRUSZKA Dorota Beata"</f>
        <v>POLZ-GRUSZKA Dorota Beata</v>
      </c>
      <c r="CE5" t="str">
        <f>"POZNAŃSKI Marek"</f>
        <v>POZNAŃSKI Marek</v>
      </c>
      <c r="CF5" t="str">
        <f>"LIPIŃSKA Paulina"</f>
        <v>LIPIŃSKA Paulina</v>
      </c>
      <c r="CG5" t="str">
        <f>"PALONKA Marek Franciszek"</f>
        <v>PALONKA Marek Franciszek</v>
      </c>
      <c r="CH5" t="str">
        <f>"WÓJCIK Dorota Ewa"</f>
        <v>WÓJCIK Dorota Ewa</v>
      </c>
      <c r="CI5" t="str">
        <f>"PŁACHTA Łukasz Jan"</f>
        <v>PŁACHTA Łukasz Jan</v>
      </c>
      <c r="CJ5" t="str">
        <f>"POPIOŁEK Zofia"</f>
        <v>POPIOŁEK Zofia</v>
      </c>
      <c r="CK5" t="str">
        <f>"KABACIŃSKI Michał"</f>
        <v>KABACIŃSKI Michał</v>
      </c>
      <c r="CL5" t="s">
        <v>35</v>
      </c>
      <c r="CM5" t="s">
        <v>34</v>
      </c>
      <c r="CN5" t="str">
        <f>"STANISŁAWEK Andrzej Józef"</f>
        <v>STANISŁAWEK Andrzej Józef</v>
      </c>
      <c r="CO5" t="str">
        <f>"MAŃKA Andrzej"</f>
        <v>MAŃKA Andrzej</v>
      </c>
      <c r="CP5" t="str">
        <f>"TOBIASZ Violetta"</f>
        <v>TOBIASZ Violetta</v>
      </c>
      <c r="CQ5" t="str">
        <f>"BOREK Anna"</f>
        <v>BOREK Anna</v>
      </c>
      <c r="CR5" t="str">
        <f>"JANISZEWSKI Jerzy Andrzej"</f>
        <v>JANISZEWSKI Jerzy Andrzej</v>
      </c>
      <c r="CS5" t="str">
        <f>"CISAK Dorota"</f>
        <v>CISAK Dorota</v>
      </c>
      <c r="CT5" t="str">
        <f>"KRUPA Elżbieta"</f>
        <v>KRUPA Elżbieta</v>
      </c>
      <c r="CU5" t="str">
        <f>"PASTERNAK Karol Jan"</f>
        <v>PASTERNAK Karol Jan</v>
      </c>
      <c r="CV5" t="str">
        <f>"LIPSKA-TOUMI Marzena Małgorzata"</f>
        <v>LIPSKA-TOUMI Marzena Małgorzata</v>
      </c>
      <c r="CW5" t="str">
        <f>"TOKARSKI Tomasz Krzysztof"</f>
        <v>TOKARSKI Tomasz Krzysztof</v>
      </c>
      <c r="CX5" t="s">
        <v>35</v>
      </c>
      <c r="CY5" t="s">
        <v>34</v>
      </c>
      <c r="CZ5" t="str">
        <f>"SZYMONA Jan Jacek"</f>
        <v>SZYMONA Jan Jacek</v>
      </c>
      <c r="DA5" t="str">
        <f>"SŁOWIK Katarzyna Danuta"</f>
        <v>SŁOWIK Katarzyna Danuta</v>
      </c>
      <c r="DB5" t="str">
        <f>"DEMCZUK Andrzej Marcin"</f>
        <v>DEMCZUK Andrzej Marcin</v>
      </c>
      <c r="DC5" t="str">
        <f>"POPEK Amadeusz Jan"</f>
        <v>POPEK Amadeusz Jan</v>
      </c>
      <c r="DD5" t="str">
        <f>"HOŁOWNIA Magdalena"</f>
        <v>HOŁOWNIA Magdalena</v>
      </c>
      <c r="DE5" t="str">
        <f>"BIAŁOBRZEWSKA Inez Monika"</f>
        <v>BIAŁOBRZEWSKA Inez Monika</v>
      </c>
      <c r="DF5" t="str">
        <f>"BIŁANT Paweł"</f>
        <v>BIŁANT Paweł</v>
      </c>
      <c r="DG5" t="str">
        <f>"BOLIBOK Małgorzata"</f>
        <v>BOLIBOK Małgorzata</v>
      </c>
      <c r="DH5" t="str">
        <f>"KEMPISTY Monika Katarzyna"</f>
        <v>KEMPISTY Monika Katarzyna</v>
      </c>
      <c r="DI5" t="str">
        <f>"KORWIN-MIKKE Kacper Mikołaj"</f>
        <v>KORWIN-MIKKE Kacper Mikołaj</v>
      </c>
      <c r="DJ5" t="s">
        <v>35</v>
      </c>
      <c r="DK5" t="s">
        <v>34</v>
      </c>
      <c r="DL5" t="str">
        <f>"KAMIŃSKI Michał Tomasz"</f>
        <v>KAMIŃSKI Michał Tomasz</v>
      </c>
      <c r="DM5" t="str">
        <f>"LIPIŃSKA Monika Maria"</f>
        <v>LIPIŃSKA Monika Maria</v>
      </c>
      <c r="DN5" t="str">
        <f>"GRAD Mariusz"</f>
        <v>GRAD Mariusz</v>
      </c>
      <c r="DO5" t="str">
        <f>"TRZCIŃSKA-STASZCZYK Beata Lilianna"</f>
        <v>TRZCIŃSKA-STASZCZYK Beata Lilianna</v>
      </c>
      <c r="DP5" t="str">
        <f>"GRABCZUK Krzysztof"</f>
        <v>GRABCZUK Krzysztof</v>
      </c>
      <c r="DQ5" t="str">
        <f>"BIELECKA Izabela"</f>
        <v>BIELECKA Izabela</v>
      </c>
      <c r="DR5" t="str">
        <f>"BRONIEWICZ Bogusław"</f>
        <v>BRONIEWICZ Bogusław</v>
      </c>
      <c r="DS5" t="str">
        <f>"WETOSZKA Krystyna"</f>
        <v>WETOSZKA Krystyna</v>
      </c>
      <c r="DT5" t="str">
        <f>"TARAS Mirosław Henryk"</f>
        <v>TARAS Mirosław Henryk</v>
      </c>
      <c r="DU5" t="str">
        <f>"POŻAK Janusz"</f>
        <v>POŻAK Janusz</v>
      </c>
      <c r="DV5" t="s">
        <v>35</v>
      </c>
      <c r="DW5" t="s">
        <v>34</v>
      </c>
      <c r="DX5" t="str">
        <f>"BRATKOWSKI Arkadiusz Tomasz"</f>
        <v>BRATKOWSKI Arkadiusz Tomasz</v>
      </c>
      <c r="DY5" t="str">
        <f>"HETMAN Krzysztof Andrzej"</f>
        <v>HETMAN Krzysztof Andrzej</v>
      </c>
      <c r="DZ5" t="str">
        <f>"TOKARSKA Genowefa"</f>
        <v>TOKARSKA Genowefa</v>
      </c>
      <c r="EA5" t="str">
        <f>"ZAJĄC Józef"</f>
        <v>ZAJĄC Józef</v>
      </c>
      <c r="EB5" t="str">
        <f>"SOSNOWSKI Sławomir Antoni"</f>
        <v>SOSNOWSKI Sławomir Antoni</v>
      </c>
      <c r="EC5" t="str">
        <f>"CZERSKA-GĄSIEWSKA Hanna Barbara"</f>
        <v>CZERSKA-GĄSIEWSKA Hanna Barbara</v>
      </c>
      <c r="ED5" t="str">
        <f>"LITWINIUK Przemysław"</f>
        <v>LITWINIUK Przemysław</v>
      </c>
      <c r="EE5" t="str">
        <f>"SEREDYN Elżbieta"</f>
        <v>SEREDYN Elżbieta</v>
      </c>
      <c r="EF5" t="str">
        <f>"ZDANOWSKA Agnieszka"</f>
        <v>ZDANOWSKA Agnieszka</v>
      </c>
      <c r="EG5" t="str">
        <f>"NIEZGODA Marceli Mateusz"</f>
        <v>NIEZGODA Marceli Mateusz</v>
      </c>
      <c r="EH5" t="s">
        <v>35</v>
      </c>
      <c r="EI5" t="s">
        <v>34</v>
      </c>
      <c r="EJ5" t="str">
        <f>"SZEWCZYK Krzysztof"</f>
        <v>SZEWCZYK Krzysztof</v>
      </c>
      <c r="EK5" t="str">
        <f>"PATYRA Elżbieta Beata"</f>
        <v>PATYRA Elżbieta Beata</v>
      </c>
      <c r="EL5" t="str">
        <f>"DZIUDZIK Sławomir Marian"</f>
        <v>DZIUDZIK Sławomir Marian</v>
      </c>
      <c r="EM5" t="str">
        <f>"WÓJCIK Michał Grzegorz"</f>
        <v>WÓJCIK Michał Grzegorz</v>
      </c>
      <c r="EN5" t="str">
        <f>"BANACH Janusz Wojciech"</f>
        <v>BANACH Janusz Wojciech</v>
      </c>
      <c r="EO5" t="str">
        <f>"ŻURAWIECKI Maciej Feliks"</f>
        <v>ŻURAWIECKI Maciej Feliks</v>
      </c>
      <c r="EP5" t="str">
        <f>"DEMCIW Monika"</f>
        <v>DEMCIW Monika</v>
      </c>
      <c r="EQ5" t="str">
        <f>"PIETRAŚ Jacek"</f>
        <v>PIETRAŚ Jacek</v>
      </c>
      <c r="ER5" t="str">
        <f>"HAJNRYCH-NAZARUK Karolina Anna"</f>
        <v>HAJNRYCH-NAZARUK Karolina Anna</v>
      </c>
      <c r="ES5" t="str">
        <f>"JAKUBCZAK Agnieszka"</f>
        <v>JAKUBCZAK Agnieszka</v>
      </c>
      <c r="ET5" t="s">
        <v>35</v>
      </c>
    </row>
    <row r="6" spans="1:150" ht="12.75">
      <c r="A6">
        <v>1</v>
      </c>
      <c r="B6" t="str">
        <f>"060301"</f>
        <v>060301</v>
      </c>
      <c r="C6" t="str">
        <f>"m. Rejowiec Fabryczny"</f>
        <v>m. Rejowiec Fabryczny</v>
      </c>
      <c r="D6" t="str">
        <f aca="true" t="shared" si="0" ref="D6:D37">"chełmski"</f>
        <v>chełmski</v>
      </c>
      <c r="E6" t="str">
        <f aca="true" t="shared" si="1" ref="E6:E69">"lubelskie"</f>
        <v>lubelskie</v>
      </c>
      <c r="F6">
        <v>1</v>
      </c>
      <c r="G6" t="str">
        <f>"Budynek PKP, ul. Kolejowa 12, 22-170 Rejowiec Fabryczny"</f>
        <v>Budynek PKP, ul. Kolejowa 12, 22-170 Rejowiec Fabryczny</v>
      </c>
      <c r="H6">
        <v>991</v>
      </c>
      <c r="I6">
        <v>991</v>
      </c>
      <c r="J6">
        <v>0</v>
      </c>
      <c r="K6">
        <v>702</v>
      </c>
      <c r="L6">
        <v>547</v>
      </c>
      <c r="M6">
        <v>155</v>
      </c>
      <c r="N6">
        <v>155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155</v>
      </c>
      <c r="Z6">
        <v>0</v>
      </c>
      <c r="AA6">
        <v>0</v>
      </c>
      <c r="AB6">
        <v>155</v>
      </c>
      <c r="AC6">
        <v>5</v>
      </c>
      <c r="AD6">
        <v>150</v>
      </c>
      <c r="AE6">
        <v>4</v>
      </c>
      <c r="AF6">
        <v>2</v>
      </c>
      <c r="AG6">
        <v>0</v>
      </c>
      <c r="AH6">
        <v>0</v>
      </c>
      <c r="AI6">
        <v>1</v>
      </c>
      <c r="AJ6">
        <v>1</v>
      </c>
      <c r="AK6">
        <v>0</v>
      </c>
      <c r="AL6">
        <v>0</v>
      </c>
      <c r="AM6">
        <v>0</v>
      </c>
      <c r="AN6">
        <v>0</v>
      </c>
      <c r="AO6">
        <v>0</v>
      </c>
      <c r="AP6">
        <v>4</v>
      </c>
      <c r="AQ6">
        <v>9</v>
      </c>
      <c r="AR6">
        <v>7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1</v>
      </c>
      <c r="AZ6">
        <v>0</v>
      </c>
      <c r="BA6">
        <v>1</v>
      </c>
      <c r="BB6">
        <v>9</v>
      </c>
      <c r="BC6">
        <v>10</v>
      </c>
      <c r="BD6">
        <v>7</v>
      </c>
      <c r="BE6">
        <v>0</v>
      </c>
      <c r="BF6">
        <v>1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2</v>
      </c>
      <c r="BN6">
        <v>10</v>
      </c>
      <c r="BO6">
        <v>41</v>
      </c>
      <c r="BP6">
        <v>15</v>
      </c>
      <c r="BQ6">
        <v>12</v>
      </c>
      <c r="BR6">
        <v>0</v>
      </c>
      <c r="BS6">
        <v>13</v>
      </c>
      <c r="BT6">
        <v>0</v>
      </c>
      <c r="BU6">
        <v>0</v>
      </c>
      <c r="BV6">
        <v>0</v>
      </c>
      <c r="BW6">
        <v>1</v>
      </c>
      <c r="BX6">
        <v>0</v>
      </c>
      <c r="BY6">
        <v>0</v>
      </c>
      <c r="BZ6">
        <v>41</v>
      </c>
      <c r="CA6">
        <v>1</v>
      </c>
      <c r="CB6">
        <v>0</v>
      </c>
      <c r="CC6">
        <v>1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1</v>
      </c>
      <c r="CM6">
        <v>2</v>
      </c>
      <c r="CN6">
        <v>2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2</v>
      </c>
      <c r="CY6">
        <v>9</v>
      </c>
      <c r="CZ6">
        <v>5</v>
      </c>
      <c r="DA6">
        <v>1</v>
      </c>
      <c r="DB6">
        <v>0</v>
      </c>
      <c r="DC6">
        <v>0</v>
      </c>
      <c r="DD6">
        <v>0</v>
      </c>
      <c r="DE6">
        <v>0</v>
      </c>
      <c r="DF6">
        <v>0</v>
      </c>
      <c r="DG6">
        <v>1</v>
      </c>
      <c r="DH6">
        <v>1</v>
      </c>
      <c r="DI6">
        <v>1</v>
      </c>
      <c r="DJ6">
        <v>9</v>
      </c>
      <c r="DK6">
        <v>18</v>
      </c>
      <c r="DL6">
        <v>3</v>
      </c>
      <c r="DM6">
        <v>0</v>
      </c>
      <c r="DN6">
        <v>0</v>
      </c>
      <c r="DO6">
        <v>0</v>
      </c>
      <c r="DP6">
        <v>15</v>
      </c>
      <c r="DQ6">
        <v>0</v>
      </c>
      <c r="DR6">
        <v>0</v>
      </c>
      <c r="DS6">
        <v>0</v>
      </c>
      <c r="DT6">
        <v>0</v>
      </c>
      <c r="DU6">
        <v>0</v>
      </c>
      <c r="DV6">
        <v>18</v>
      </c>
      <c r="DW6">
        <v>55</v>
      </c>
      <c r="DX6">
        <v>1</v>
      </c>
      <c r="DY6">
        <v>3</v>
      </c>
      <c r="DZ6">
        <v>0</v>
      </c>
      <c r="EA6">
        <v>51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55</v>
      </c>
      <c r="EI6">
        <v>1</v>
      </c>
      <c r="EJ6">
        <v>0</v>
      </c>
      <c r="EK6">
        <v>0</v>
      </c>
      <c r="EL6">
        <v>1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1</v>
      </c>
    </row>
    <row r="7" spans="1:150" ht="12.75">
      <c r="A7">
        <v>2</v>
      </c>
      <c r="B7" t="str">
        <f>"060301"</f>
        <v>060301</v>
      </c>
      <c r="C7" t="str">
        <f>"m. Rejowiec Fabryczny"</f>
        <v>m. Rejowiec Fabryczny</v>
      </c>
      <c r="D7" t="str">
        <f t="shared" si="0"/>
        <v>chełmski</v>
      </c>
      <c r="E7" t="str">
        <f t="shared" si="1"/>
        <v>lubelskie</v>
      </c>
      <c r="F7">
        <v>2</v>
      </c>
      <c r="G7" t="str">
        <f>"Zespół Szkół Samorządowych, ul. Lubelska 18, 22-170 Rejowiec Fabryczny"</f>
        <v>Zespół Szkół Samorządowych, ul. Lubelska 18, 22-170 Rejowiec Fabryczny</v>
      </c>
      <c r="H7">
        <v>1205</v>
      </c>
      <c r="I7">
        <v>1205</v>
      </c>
      <c r="J7">
        <v>0</v>
      </c>
      <c r="K7">
        <v>850</v>
      </c>
      <c r="L7">
        <v>654</v>
      </c>
      <c r="M7">
        <v>196</v>
      </c>
      <c r="N7">
        <v>196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196</v>
      </c>
      <c r="Z7">
        <v>0</v>
      </c>
      <c r="AA7">
        <v>0</v>
      </c>
      <c r="AB7">
        <v>196</v>
      </c>
      <c r="AC7">
        <v>6</v>
      </c>
      <c r="AD7">
        <v>190</v>
      </c>
      <c r="AE7">
        <v>5</v>
      </c>
      <c r="AF7">
        <v>2</v>
      </c>
      <c r="AG7">
        <v>0</v>
      </c>
      <c r="AH7">
        <v>0</v>
      </c>
      <c r="AI7">
        <v>1</v>
      </c>
      <c r="AJ7">
        <v>0</v>
      </c>
      <c r="AK7">
        <v>1</v>
      </c>
      <c r="AL7">
        <v>1</v>
      </c>
      <c r="AM7">
        <v>0</v>
      </c>
      <c r="AN7">
        <v>0</v>
      </c>
      <c r="AO7">
        <v>0</v>
      </c>
      <c r="AP7">
        <v>5</v>
      </c>
      <c r="AQ7">
        <v>2</v>
      </c>
      <c r="AR7">
        <v>1</v>
      </c>
      <c r="AS7">
        <v>1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2</v>
      </c>
      <c r="BC7">
        <v>14</v>
      </c>
      <c r="BD7">
        <v>5</v>
      </c>
      <c r="BE7">
        <v>0</v>
      </c>
      <c r="BF7">
        <v>4</v>
      </c>
      <c r="BG7">
        <v>0</v>
      </c>
      <c r="BH7">
        <v>3</v>
      </c>
      <c r="BI7">
        <v>0</v>
      </c>
      <c r="BJ7">
        <v>1</v>
      </c>
      <c r="BK7">
        <v>0</v>
      </c>
      <c r="BL7">
        <v>0</v>
      </c>
      <c r="BM7">
        <v>1</v>
      </c>
      <c r="BN7">
        <v>14</v>
      </c>
      <c r="BO7">
        <v>58</v>
      </c>
      <c r="BP7">
        <v>10</v>
      </c>
      <c r="BQ7">
        <v>24</v>
      </c>
      <c r="BR7">
        <v>1</v>
      </c>
      <c r="BS7">
        <v>19</v>
      </c>
      <c r="BT7">
        <v>2</v>
      </c>
      <c r="BU7">
        <v>0</v>
      </c>
      <c r="BV7">
        <v>1</v>
      </c>
      <c r="BW7">
        <v>1</v>
      </c>
      <c r="BX7">
        <v>0</v>
      </c>
      <c r="BY7">
        <v>0</v>
      </c>
      <c r="BZ7">
        <v>58</v>
      </c>
      <c r="CA7">
        <v>3</v>
      </c>
      <c r="CB7">
        <v>1</v>
      </c>
      <c r="CC7">
        <v>0</v>
      </c>
      <c r="CD7">
        <v>0</v>
      </c>
      <c r="CE7">
        <v>0</v>
      </c>
      <c r="CF7">
        <v>2</v>
      </c>
      <c r="CG7">
        <v>0</v>
      </c>
      <c r="CH7">
        <v>0</v>
      </c>
      <c r="CI7">
        <v>0</v>
      </c>
      <c r="CJ7">
        <v>0</v>
      </c>
      <c r="CK7">
        <v>0</v>
      </c>
      <c r="CL7">
        <v>3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3</v>
      </c>
      <c r="CZ7">
        <v>2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1</v>
      </c>
      <c r="DJ7">
        <v>3</v>
      </c>
      <c r="DK7">
        <v>57</v>
      </c>
      <c r="DL7">
        <v>13</v>
      </c>
      <c r="DM7">
        <v>2</v>
      </c>
      <c r="DN7">
        <v>0</v>
      </c>
      <c r="DO7">
        <v>0</v>
      </c>
      <c r="DP7">
        <v>40</v>
      </c>
      <c r="DQ7">
        <v>0</v>
      </c>
      <c r="DR7">
        <v>0</v>
      </c>
      <c r="DS7">
        <v>0</v>
      </c>
      <c r="DT7">
        <v>0</v>
      </c>
      <c r="DU7">
        <v>2</v>
      </c>
      <c r="DV7">
        <v>57</v>
      </c>
      <c r="DW7">
        <v>47</v>
      </c>
      <c r="DX7">
        <v>0</v>
      </c>
      <c r="DY7">
        <v>1</v>
      </c>
      <c r="DZ7">
        <v>0</v>
      </c>
      <c r="EA7">
        <v>45</v>
      </c>
      <c r="EB7">
        <v>0</v>
      </c>
      <c r="EC7">
        <v>0</v>
      </c>
      <c r="ED7">
        <v>0</v>
      </c>
      <c r="EE7">
        <v>0</v>
      </c>
      <c r="EF7">
        <v>1</v>
      </c>
      <c r="EG7">
        <v>0</v>
      </c>
      <c r="EH7">
        <v>47</v>
      </c>
      <c r="EI7">
        <v>1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1</v>
      </c>
      <c r="ET7">
        <v>1</v>
      </c>
    </row>
    <row r="8" spans="1:150" ht="12.75">
      <c r="A8">
        <v>3</v>
      </c>
      <c r="B8" t="str">
        <f>"060301"</f>
        <v>060301</v>
      </c>
      <c r="C8" t="str">
        <f>"m. Rejowiec Fabryczny"</f>
        <v>m. Rejowiec Fabryczny</v>
      </c>
      <c r="D8" t="str">
        <f t="shared" si="0"/>
        <v>chełmski</v>
      </c>
      <c r="E8" t="str">
        <f t="shared" si="1"/>
        <v>lubelskie</v>
      </c>
      <c r="F8">
        <v>3</v>
      </c>
      <c r="G8" t="s">
        <v>36</v>
      </c>
      <c r="H8">
        <v>1491</v>
      </c>
      <c r="I8">
        <v>1491</v>
      </c>
      <c r="J8">
        <v>0</v>
      </c>
      <c r="K8">
        <v>1299</v>
      </c>
      <c r="L8">
        <v>1007</v>
      </c>
      <c r="M8">
        <v>292</v>
      </c>
      <c r="N8">
        <v>292</v>
      </c>
      <c r="O8">
        <v>0</v>
      </c>
      <c r="P8">
        <v>0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292</v>
      </c>
      <c r="Z8">
        <v>0</v>
      </c>
      <c r="AA8">
        <v>0</v>
      </c>
      <c r="AB8">
        <v>292</v>
      </c>
      <c r="AC8">
        <v>5</v>
      </c>
      <c r="AD8">
        <v>287</v>
      </c>
      <c r="AE8">
        <v>10</v>
      </c>
      <c r="AF8">
        <v>5</v>
      </c>
      <c r="AG8">
        <v>0</v>
      </c>
      <c r="AH8">
        <v>1</v>
      </c>
      <c r="AI8">
        <v>0</v>
      </c>
      <c r="AJ8">
        <v>0</v>
      </c>
      <c r="AK8">
        <v>0</v>
      </c>
      <c r="AL8">
        <v>1</v>
      </c>
      <c r="AM8">
        <v>1</v>
      </c>
      <c r="AN8">
        <v>0</v>
      </c>
      <c r="AO8">
        <v>2</v>
      </c>
      <c r="AP8">
        <v>10</v>
      </c>
      <c r="AQ8">
        <v>15</v>
      </c>
      <c r="AR8">
        <v>14</v>
      </c>
      <c r="AS8">
        <v>0</v>
      </c>
      <c r="AT8">
        <v>0</v>
      </c>
      <c r="AU8">
        <v>0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15</v>
      </c>
      <c r="BC8">
        <v>10</v>
      </c>
      <c r="BD8">
        <v>3</v>
      </c>
      <c r="BE8">
        <v>0</v>
      </c>
      <c r="BF8">
        <v>0</v>
      </c>
      <c r="BG8">
        <v>0</v>
      </c>
      <c r="BH8">
        <v>3</v>
      </c>
      <c r="BI8">
        <v>1</v>
      </c>
      <c r="BJ8">
        <v>0</v>
      </c>
      <c r="BK8">
        <v>1</v>
      </c>
      <c r="BL8">
        <v>0</v>
      </c>
      <c r="BM8">
        <v>2</v>
      </c>
      <c r="BN8">
        <v>10</v>
      </c>
      <c r="BO8">
        <v>63</v>
      </c>
      <c r="BP8">
        <v>14</v>
      </c>
      <c r="BQ8">
        <v>19</v>
      </c>
      <c r="BR8">
        <v>2</v>
      </c>
      <c r="BS8">
        <v>25</v>
      </c>
      <c r="BT8">
        <v>0</v>
      </c>
      <c r="BU8">
        <v>2</v>
      </c>
      <c r="BV8">
        <v>0</v>
      </c>
      <c r="BW8">
        <v>1</v>
      </c>
      <c r="BX8">
        <v>0</v>
      </c>
      <c r="BY8">
        <v>0</v>
      </c>
      <c r="BZ8">
        <v>63</v>
      </c>
      <c r="CA8">
        <v>9</v>
      </c>
      <c r="CB8">
        <v>4</v>
      </c>
      <c r="CC8">
        <v>1</v>
      </c>
      <c r="CD8">
        <v>0</v>
      </c>
      <c r="CE8">
        <v>0</v>
      </c>
      <c r="CF8">
        <v>0</v>
      </c>
      <c r="CG8">
        <v>2</v>
      </c>
      <c r="CH8">
        <v>1</v>
      </c>
      <c r="CI8">
        <v>1</v>
      </c>
      <c r="CJ8">
        <v>0</v>
      </c>
      <c r="CK8">
        <v>0</v>
      </c>
      <c r="CL8">
        <v>9</v>
      </c>
      <c r="CM8">
        <v>3</v>
      </c>
      <c r="CN8">
        <v>2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1</v>
      </c>
      <c r="CX8">
        <v>3</v>
      </c>
      <c r="CY8">
        <v>16</v>
      </c>
      <c r="CZ8">
        <v>6</v>
      </c>
      <c r="DA8">
        <v>0</v>
      </c>
      <c r="DB8">
        <v>1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9</v>
      </c>
      <c r="DJ8">
        <v>16</v>
      </c>
      <c r="DK8">
        <v>71</v>
      </c>
      <c r="DL8">
        <v>7</v>
      </c>
      <c r="DM8">
        <v>2</v>
      </c>
      <c r="DN8">
        <v>1</v>
      </c>
      <c r="DO8">
        <v>0</v>
      </c>
      <c r="DP8">
        <v>61</v>
      </c>
      <c r="DQ8">
        <v>0</v>
      </c>
      <c r="DR8">
        <v>0</v>
      </c>
      <c r="DS8">
        <v>0</v>
      </c>
      <c r="DT8">
        <v>0</v>
      </c>
      <c r="DU8">
        <v>0</v>
      </c>
      <c r="DV8">
        <v>71</v>
      </c>
      <c r="DW8">
        <v>89</v>
      </c>
      <c r="DX8">
        <v>2</v>
      </c>
      <c r="DY8">
        <v>0</v>
      </c>
      <c r="DZ8">
        <v>0</v>
      </c>
      <c r="EA8">
        <v>86</v>
      </c>
      <c r="EB8">
        <v>0</v>
      </c>
      <c r="EC8">
        <v>1</v>
      </c>
      <c r="ED8">
        <v>0</v>
      </c>
      <c r="EE8">
        <v>0</v>
      </c>
      <c r="EF8">
        <v>0</v>
      </c>
      <c r="EG8">
        <v>0</v>
      </c>
      <c r="EH8">
        <v>89</v>
      </c>
      <c r="EI8">
        <v>1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1</v>
      </c>
      <c r="ER8">
        <v>0</v>
      </c>
      <c r="ES8">
        <v>0</v>
      </c>
      <c r="ET8">
        <v>1</v>
      </c>
    </row>
    <row r="9" spans="1:150" ht="12.75">
      <c r="A9">
        <v>4</v>
      </c>
      <c r="B9" t="str">
        <f>"060302"</f>
        <v>060302</v>
      </c>
      <c r="C9" t="str">
        <f>"Białopole"</f>
        <v>Białopole</v>
      </c>
      <c r="D9" t="str">
        <f t="shared" si="0"/>
        <v>chełmski</v>
      </c>
      <c r="E9" t="str">
        <f t="shared" si="1"/>
        <v>lubelskie</v>
      </c>
      <c r="F9">
        <v>1</v>
      </c>
      <c r="G9" t="str">
        <f>"Urząd Gminy, ul. Chełmska 1, 22-135 Białopole"</f>
        <v>Urząd Gminy, ul. Chełmska 1, 22-135 Białopole</v>
      </c>
      <c r="H9">
        <v>1385</v>
      </c>
      <c r="I9">
        <v>1385</v>
      </c>
      <c r="J9">
        <v>0</v>
      </c>
      <c r="K9">
        <v>970</v>
      </c>
      <c r="L9">
        <v>740</v>
      </c>
      <c r="M9">
        <v>230</v>
      </c>
      <c r="N9">
        <v>230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230</v>
      </c>
      <c r="Z9">
        <v>0</v>
      </c>
      <c r="AA9">
        <v>0</v>
      </c>
      <c r="AB9">
        <v>230</v>
      </c>
      <c r="AC9">
        <v>10</v>
      </c>
      <c r="AD9">
        <v>220</v>
      </c>
      <c r="AE9">
        <v>8</v>
      </c>
      <c r="AF9">
        <v>3</v>
      </c>
      <c r="AG9">
        <v>0</v>
      </c>
      <c r="AH9">
        <v>0</v>
      </c>
      <c r="AI9">
        <v>1</v>
      </c>
      <c r="AJ9">
        <v>0</v>
      </c>
      <c r="AK9">
        <v>0</v>
      </c>
      <c r="AL9">
        <v>2</v>
      </c>
      <c r="AM9">
        <v>0</v>
      </c>
      <c r="AN9">
        <v>0</v>
      </c>
      <c r="AO9">
        <v>2</v>
      </c>
      <c r="AP9">
        <v>8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20</v>
      </c>
      <c r="BD9">
        <v>3</v>
      </c>
      <c r="BE9">
        <v>1</v>
      </c>
      <c r="BF9">
        <v>4</v>
      </c>
      <c r="BG9">
        <v>0</v>
      </c>
      <c r="BH9">
        <v>9</v>
      </c>
      <c r="BI9">
        <v>0</v>
      </c>
      <c r="BJ9">
        <v>0</v>
      </c>
      <c r="BK9">
        <v>2</v>
      </c>
      <c r="BL9">
        <v>1</v>
      </c>
      <c r="BM9">
        <v>0</v>
      </c>
      <c r="BN9">
        <v>20</v>
      </c>
      <c r="BO9">
        <v>66</v>
      </c>
      <c r="BP9">
        <v>19</v>
      </c>
      <c r="BQ9">
        <v>26</v>
      </c>
      <c r="BR9">
        <v>0</v>
      </c>
      <c r="BS9">
        <v>15</v>
      </c>
      <c r="BT9">
        <v>0</v>
      </c>
      <c r="BU9">
        <v>0</v>
      </c>
      <c r="BV9">
        <v>0</v>
      </c>
      <c r="BW9">
        <v>5</v>
      </c>
      <c r="BX9">
        <v>1</v>
      </c>
      <c r="BY9">
        <v>0</v>
      </c>
      <c r="BZ9">
        <v>66</v>
      </c>
      <c r="CA9">
        <v>9</v>
      </c>
      <c r="CB9">
        <v>5</v>
      </c>
      <c r="CC9">
        <v>0</v>
      </c>
      <c r="CD9">
        <v>1</v>
      </c>
      <c r="CE9">
        <v>3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9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3</v>
      </c>
      <c r="CZ9">
        <v>2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1</v>
      </c>
      <c r="DJ9">
        <v>3</v>
      </c>
      <c r="DK9">
        <v>29</v>
      </c>
      <c r="DL9">
        <v>3</v>
      </c>
      <c r="DM9">
        <v>5</v>
      </c>
      <c r="DN9">
        <v>0</v>
      </c>
      <c r="DO9">
        <v>0</v>
      </c>
      <c r="DP9">
        <v>20</v>
      </c>
      <c r="DQ9">
        <v>0</v>
      </c>
      <c r="DR9">
        <v>0</v>
      </c>
      <c r="DS9">
        <v>1</v>
      </c>
      <c r="DT9">
        <v>0</v>
      </c>
      <c r="DU9">
        <v>0</v>
      </c>
      <c r="DV9">
        <v>29</v>
      </c>
      <c r="DW9">
        <v>85</v>
      </c>
      <c r="DX9">
        <v>33</v>
      </c>
      <c r="DY9">
        <v>7</v>
      </c>
      <c r="DZ9">
        <v>1</v>
      </c>
      <c r="EA9">
        <v>43</v>
      </c>
      <c r="EB9">
        <v>0</v>
      </c>
      <c r="EC9">
        <v>0</v>
      </c>
      <c r="ED9">
        <v>1</v>
      </c>
      <c r="EE9">
        <v>0</v>
      </c>
      <c r="EF9">
        <v>0</v>
      </c>
      <c r="EG9">
        <v>0</v>
      </c>
      <c r="EH9">
        <v>85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</row>
    <row r="10" spans="1:150" ht="12.75">
      <c r="A10">
        <v>5</v>
      </c>
      <c r="B10" t="str">
        <f>"060302"</f>
        <v>060302</v>
      </c>
      <c r="C10" t="str">
        <f>"Białopole"</f>
        <v>Białopole</v>
      </c>
      <c r="D10" t="str">
        <f t="shared" si="0"/>
        <v>chełmski</v>
      </c>
      <c r="E10" t="str">
        <f t="shared" si="1"/>
        <v>lubelskie</v>
      </c>
      <c r="F10">
        <v>2</v>
      </c>
      <c r="G10" t="str">
        <f>"Świetlica wiejska, Raciborowice 31, 22-135 Białopole"</f>
        <v>Świetlica wiejska, Raciborowice 31, 22-135 Białopole</v>
      </c>
      <c r="H10">
        <v>546</v>
      </c>
      <c r="I10">
        <v>546</v>
      </c>
      <c r="J10">
        <v>0</v>
      </c>
      <c r="K10">
        <v>390</v>
      </c>
      <c r="L10">
        <v>309</v>
      </c>
      <c r="M10">
        <v>81</v>
      </c>
      <c r="N10">
        <v>81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81</v>
      </c>
      <c r="Z10">
        <v>0</v>
      </c>
      <c r="AA10">
        <v>0</v>
      </c>
      <c r="AB10">
        <v>81</v>
      </c>
      <c r="AC10">
        <v>2</v>
      </c>
      <c r="AD10">
        <v>79</v>
      </c>
      <c r="AE10">
        <v>2</v>
      </c>
      <c r="AF10">
        <v>1</v>
      </c>
      <c r="AG10">
        <v>0</v>
      </c>
      <c r="AH10">
        <v>0</v>
      </c>
      <c r="AI10">
        <v>1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2</v>
      </c>
      <c r="AQ10">
        <v>1</v>
      </c>
      <c r="AR10">
        <v>0</v>
      </c>
      <c r="AS10">
        <v>0</v>
      </c>
      <c r="AT10">
        <v>0</v>
      </c>
      <c r="AU10">
        <v>0</v>
      </c>
      <c r="AV10">
        <v>1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1</v>
      </c>
      <c r="BC10">
        <v>10</v>
      </c>
      <c r="BD10">
        <v>6</v>
      </c>
      <c r="BE10">
        <v>0</v>
      </c>
      <c r="BF10">
        <v>1</v>
      </c>
      <c r="BG10">
        <v>0</v>
      </c>
      <c r="BH10">
        <v>1</v>
      </c>
      <c r="BI10">
        <v>2</v>
      </c>
      <c r="BJ10">
        <v>0</v>
      </c>
      <c r="BK10">
        <v>0</v>
      </c>
      <c r="BL10">
        <v>0</v>
      </c>
      <c r="BM10">
        <v>0</v>
      </c>
      <c r="BN10">
        <v>10</v>
      </c>
      <c r="BO10">
        <v>14</v>
      </c>
      <c r="BP10">
        <v>3</v>
      </c>
      <c r="BQ10">
        <v>5</v>
      </c>
      <c r="BR10">
        <v>1</v>
      </c>
      <c r="BS10">
        <v>5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14</v>
      </c>
      <c r="CA10">
        <v>5</v>
      </c>
      <c r="CB10">
        <v>2</v>
      </c>
      <c r="CC10">
        <v>0</v>
      </c>
      <c r="CD10">
        <v>0</v>
      </c>
      <c r="CE10">
        <v>3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5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1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</v>
      </c>
      <c r="DG10">
        <v>0</v>
      </c>
      <c r="DH10">
        <v>0</v>
      </c>
      <c r="DI10">
        <v>0</v>
      </c>
      <c r="DJ10">
        <v>1</v>
      </c>
      <c r="DK10">
        <v>13</v>
      </c>
      <c r="DL10">
        <v>1</v>
      </c>
      <c r="DM10">
        <v>1</v>
      </c>
      <c r="DN10">
        <v>1</v>
      </c>
      <c r="DO10">
        <v>0</v>
      </c>
      <c r="DP10">
        <v>10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13</v>
      </c>
      <c r="DW10">
        <v>33</v>
      </c>
      <c r="DX10">
        <v>6</v>
      </c>
      <c r="DY10">
        <v>2</v>
      </c>
      <c r="DZ10">
        <v>0</v>
      </c>
      <c r="EA10">
        <v>24</v>
      </c>
      <c r="EB10">
        <v>1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33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</row>
    <row r="11" spans="1:150" ht="12.75">
      <c r="A11">
        <v>6</v>
      </c>
      <c r="B11" t="str">
        <f>"060302"</f>
        <v>060302</v>
      </c>
      <c r="C11" t="str">
        <f>"Białopole"</f>
        <v>Białopole</v>
      </c>
      <c r="D11" t="str">
        <f t="shared" si="0"/>
        <v>chełmski</v>
      </c>
      <c r="E11" t="str">
        <f t="shared" si="1"/>
        <v>lubelskie</v>
      </c>
      <c r="F11">
        <v>3</v>
      </c>
      <c r="G11" t="str">
        <f>"Publiczna Szkoła Podstawowa, Strzelce 43B, 22-135 Białopole"</f>
        <v>Publiczna Szkoła Podstawowa, Strzelce 43B, 22-135 Białopole</v>
      </c>
      <c r="H11">
        <v>678</v>
      </c>
      <c r="I11">
        <v>678</v>
      </c>
      <c r="J11">
        <v>0</v>
      </c>
      <c r="K11">
        <v>480</v>
      </c>
      <c r="L11">
        <v>350</v>
      </c>
      <c r="M11">
        <v>130</v>
      </c>
      <c r="N11">
        <v>130</v>
      </c>
      <c r="O11">
        <v>0</v>
      </c>
      <c r="P11">
        <v>0</v>
      </c>
      <c r="Q11">
        <v>2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130</v>
      </c>
      <c r="Z11">
        <v>0</v>
      </c>
      <c r="AA11">
        <v>0</v>
      </c>
      <c r="AB11">
        <v>130</v>
      </c>
      <c r="AC11">
        <v>5</v>
      </c>
      <c r="AD11">
        <v>125</v>
      </c>
      <c r="AE11">
        <v>5</v>
      </c>
      <c r="AF11">
        <v>3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1</v>
      </c>
      <c r="AM11">
        <v>1</v>
      </c>
      <c r="AN11">
        <v>0</v>
      </c>
      <c r="AO11">
        <v>0</v>
      </c>
      <c r="AP11">
        <v>5</v>
      </c>
      <c r="AQ11">
        <v>2</v>
      </c>
      <c r="AR11">
        <v>0</v>
      </c>
      <c r="AS11">
        <v>0</v>
      </c>
      <c r="AT11">
        <v>0</v>
      </c>
      <c r="AU11">
        <v>1</v>
      </c>
      <c r="AV11">
        <v>0</v>
      </c>
      <c r="AW11">
        <v>0</v>
      </c>
      <c r="AX11">
        <v>1</v>
      </c>
      <c r="AY11">
        <v>0</v>
      </c>
      <c r="AZ11">
        <v>0</v>
      </c>
      <c r="BA11">
        <v>0</v>
      </c>
      <c r="BB11">
        <v>2</v>
      </c>
      <c r="BC11">
        <v>3</v>
      </c>
      <c r="BD11">
        <v>1</v>
      </c>
      <c r="BE11">
        <v>0</v>
      </c>
      <c r="BF11">
        <v>0</v>
      </c>
      <c r="BG11">
        <v>0</v>
      </c>
      <c r="BH11">
        <v>2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3</v>
      </c>
      <c r="BO11">
        <v>40</v>
      </c>
      <c r="BP11">
        <v>14</v>
      </c>
      <c r="BQ11">
        <v>8</v>
      </c>
      <c r="BR11">
        <v>5</v>
      </c>
      <c r="BS11">
        <v>9</v>
      </c>
      <c r="BT11">
        <v>0</v>
      </c>
      <c r="BU11">
        <v>1</v>
      </c>
      <c r="BV11">
        <v>0</v>
      </c>
      <c r="BW11">
        <v>0</v>
      </c>
      <c r="BX11">
        <v>0</v>
      </c>
      <c r="BY11">
        <v>3</v>
      </c>
      <c r="BZ11">
        <v>40</v>
      </c>
      <c r="CA11">
        <v>2</v>
      </c>
      <c r="CB11">
        <v>0</v>
      </c>
      <c r="CC11">
        <v>0</v>
      </c>
      <c r="CD11">
        <v>0</v>
      </c>
      <c r="CE11">
        <v>1</v>
      </c>
      <c r="CF11">
        <v>1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2</v>
      </c>
      <c r="CM11">
        <v>4</v>
      </c>
      <c r="CN11">
        <v>3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1</v>
      </c>
      <c r="CU11">
        <v>0</v>
      </c>
      <c r="CV11">
        <v>0</v>
      </c>
      <c r="CW11">
        <v>0</v>
      </c>
      <c r="CX11">
        <v>4</v>
      </c>
      <c r="CY11">
        <v>8</v>
      </c>
      <c r="CZ11">
        <v>2</v>
      </c>
      <c r="DA11">
        <v>0</v>
      </c>
      <c r="DB11">
        <v>1</v>
      </c>
      <c r="DC11">
        <v>0</v>
      </c>
      <c r="DD11">
        <v>0</v>
      </c>
      <c r="DE11">
        <v>1</v>
      </c>
      <c r="DF11">
        <v>0</v>
      </c>
      <c r="DG11">
        <v>0</v>
      </c>
      <c r="DH11">
        <v>0</v>
      </c>
      <c r="DI11">
        <v>4</v>
      </c>
      <c r="DJ11">
        <v>8</v>
      </c>
      <c r="DK11">
        <v>12</v>
      </c>
      <c r="DL11">
        <v>0</v>
      </c>
      <c r="DM11">
        <v>2</v>
      </c>
      <c r="DN11">
        <v>0</v>
      </c>
      <c r="DO11">
        <v>0</v>
      </c>
      <c r="DP11">
        <v>10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12</v>
      </c>
      <c r="DW11">
        <v>47</v>
      </c>
      <c r="DX11">
        <v>11</v>
      </c>
      <c r="DY11">
        <v>12</v>
      </c>
      <c r="DZ11">
        <v>1</v>
      </c>
      <c r="EA11">
        <v>23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47</v>
      </c>
      <c r="EI11">
        <v>2</v>
      </c>
      <c r="EJ11">
        <v>1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1</v>
      </c>
      <c r="ES11">
        <v>0</v>
      </c>
      <c r="ET11">
        <v>2</v>
      </c>
    </row>
    <row r="12" spans="1:150" ht="12.75">
      <c r="A12">
        <v>7</v>
      </c>
      <c r="B12" t="str">
        <f aca="true" t="shared" si="2" ref="B12:B29">"060303"</f>
        <v>060303</v>
      </c>
      <c r="C12" t="str">
        <f aca="true" t="shared" si="3" ref="C12:C29">"Chełm"</f>
        <v>Chełm</v>
      </c>
      <c r="D12" t="str">
        <f t="shared" si="0"/>
        <v>chełmski</v>
      </c>
      <c r="E12" t="str">
        <f t="shared" si="1"/>
        <v>lubelskie</v>
      </c>
      <c r="F12">
        <v>1</v>
      </c>
      <c r="G12" t="str">
        <f>"Świetlica w Srebrzyszczu, Srebrzyszcze 52, 22-100 Chełm"</f>
        <v>Świetlica w Srebrzyszczu, Srebrzyszcze 52, 22-100 Chełm</v>
      </c>
      <c r="H12">
        <v>871</v>
      </c>
      <c r="I12">
        <v>871</v>
      </c>
      <c r="J12">
        <v>0</v>
      </c>
      <c r="K12">
        <v>620</v>
      </c>
      <c r="L12">
        <v>454</v>
      </c>
      <c r="M12">
        <v>166</v>
      </c>
      <c r="N12">
        <v>166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166</v>
      </c>
      <c r="Z12">
        <v>0</v>
      </c>
      <c r="AA12">
        <v>0</v>
      </c>
      <c r="AB12">
        <v>166</v>
      </c>
      <c r="AC12">
        <v>10</v>
      </c>
      <c r="AD12">
        <v>156</v>
      </c>
      <c r="AE12">
        <v>1</v>
      </c>
      <c r="AF12">
        <v>0</v>
      </c>
      <c r="AG12">
        <v>0</v>
      </c>
      <c r="AH12">
        <v>1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1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8</v>
      </c>
      <c r="BD12">
        <v>0</v>
      </c>
      <c r="BE12">
        <v>0</v>
      </c>
      <c r="BF12">
        <v>0</v>
      </c>
      <c r="BG12">
        <v>0</v>
      </c>
      <c r="BH12">
        <v>8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8</v>
      </c>
      <c r="BO12">
        <v>35</v>
      </c>
      <c r="BP12">
        <v>6</v>
      </c>
      <c r="BQ12">
        <v>11</v>
      </c>
      <c r="BR12">
        <v>1</v>
      </c>
      <c r="BS12">
        <v>17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35</v>
      </c>
      <c r="CA12">
        <v>1</v>
      </c>
      <c r="CB12">
        <v>1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</v>
      </c>
      <c r="CM12">
        <v>1</v>
      </c>
      <c r="CN12">
        <v>1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1</v>
      </c>
      <c r="CY12">
        <v>6</v>
      </c>
      <c r="CZ12">
        <v>1</v>
      </c>
      <c r="DA12">
        <v>0</v>
      </c>
      <c r="DB12">
        <v>1</v>
      </c>
      <c r="DC12">
        <v>0</v>
      </c>
      <c r="DD12">
        <v>1</v>
      </c>
      <c r="DE12">
        <v>0</v>
      </c>
      <c r="DF12">
        <v>0</v>
      </c>
      <c r="DG12">
        <v>0</v>
      </c>
      <c r="DH12">
        <v>1</v>
      </c>
      <c r="DI12">
        <v>2</v>
      </c>
      <c r="DJ12">
        <v>6</v>
      </c>
      <c r="DK12">
        <v>13</v>
      </c>
      <c r="DL12">
        <v>3</v>
      </c>
      <c r="DM12">
        <v>0</v>
      </c>
      <c r="DN12">
        <v>0</v>
      </c>
      <c r="DO12">
        <v>0</v>
      </c>
      <c r="DP12">
        <v>10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13</v>
      </c>
      <c r="DW12">
        <v>90</v>
      </c>
      <c r="DX12">
        <v>18</v>
      </c>
      <c r="DY12">
        <v>3</v>
      </c>
      <c r="DZ12">
        <v>0</v>
      </c>
      <c r="EA12">
        <v>69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90</v>
      </c>
      <c r="EI12">
        <v>1</v>
      </c>
      <c r="EJ12">
        <v>0</v>
      </c>
      <c r="EK12">
        <v>0</v>
      </c>
      <c r="EL12">
        <v>0</v>
      </c>
      <c r="EM12">
        <v>0</v>
      </c>
      <c r="EN12">
        <v>1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1</v>
      </c>
    </row>
    <row r="13" spans="1:150" ht="12.75">
      <c r="A13">
        <v>8</v>
      </c>
      <c r="B13" t="str">
        <f t="shared" si="2"/>
        <v>060303</v>
      </c>
      <c r="C13" t="str">
        <f t="shared" si="3"/>
        <v>Chełm</v>
      </c>
      <c r="D13" t="str">
        <f t="shared" si="0"/>
        <v>chełmski</v>
      </c>
      <c r="E13" t="str">
        <f t="shared" si="1"/>
        <v>lubelskie</v>
      </c>
      <c r="F13">
        <v>2</v>
      </c>
      <c r="G13" t="str">
        <f>"Zespół Szkół w Okszowie, ul. Chełmska 14, Okszów, 22-105 Chełm"</f>
        <v>Zespół Szkół w Okszowie, ul. Chełmska 14, Okszów, 22-105 Chełm</v>
      </c>
      <c r="H13">
        <v>1364</v>
      </c>
      <c r="I13">
        <v>1364</v>
      </c>
      <c r="J13">
        <v>0</v>
      </c>
      <c r="K13">
        <v>960</v>
      </c>
      <c r="L13">
        <v>616</v>
      </c>
      <c r="M13">
        <v>344</v>
      </c>
      <c r="N13">
        <v>344</v>
      </c>
      <c r="O13">
        <v>0</v>
      </c>
      <c r="P13">
        <v>0</v>
      </c>
      <c r="Q13">
        <v>3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344</v>
      </c>
      <c r="Z13">
        <v>0</v>
      </c>
      <c r="AA13">
        <v>0</v>
      </c>
      <c r="AB13">
        <v>344</v>
      </c>
      <c r="AC13">
        <v>5</v>
      </c>
      <c r="AD13">
        <v>339</v>
      </c>
      <c r="AE13">
        <v>5</v>
      </c>
      <c r="AF13">
        <v>1</v>
      </c>
      <c r="AG13">
        <v>1</v>
      </c>
      <c r="AH13">
        <v>0</v>
      </c>
      <c r="AI13">
        <v>0</v>
      </c>
      <c r="AJ13">
        <v>2</v>
      </c>
      <c r="AK13">
        <v>0</v>
      </c>
      <c r="AL13">
        <v>0</v>
      </c>
      <c r="AM13">
        <v>0</v>
      </c>
      <c r="AN13">
        <v>0</v>
      </c>
      <c r="AO13">
        <v>1</v>
      </c>
      <c r="AP13">
        <v>5</v>
      </c>
      <c r="AQ13">
        <v>2</v>
      </c>
      <c r="AR13">
        <v>2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2</v>
      </c>
      <c r="BC13">
        <v>8</v>
      </c>
      <c r="BD13">
        <v>4</v>
      </c>
      <c r="BE13">
        <v>0</v>
      </c>
      <c r="BF13">
        <v>1</v>
      </c>
      <c r="BG13">
        <v>0</v>
      </c>
      <c r="BH13">
        <v>3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8</v>
      </c>
      <c r="BO13">
        <v>117</v>
      </c>
      <c r="BP13">
        <v>16</v>
      </c>
      <c r="BQ13">
        <v>71</v>
      </c>
      <c r="BR13">
        <v>10</v>
      </c>
      <c r="BS13">
        <v>14</v>
      </c>
      <c r="BT13">
        <v>0</v>
      </c>
      <c r="BU13">
        <v>0</v>
      </c>
      <c r="BV13">
        <v>4</v>
      </c>
      <c r="BW13">
        <v>2</v>
      </c>
      <c r="BX13">
        <v>0</v>
      </c>
      <c r="BY13">
        <v>0</v>
      </c>
      <c r="BZ13">
        <v>117</v>
      </c>
      <c r="CA13">
        <v>3</v>
      </c>
      <c r="CB13">
        <v>2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1</v>
      </c>
      <c r="CI13">
        <v>0</v>
      </c>
      <c r="CJ13">
        <v>0</v>
      </c>
      <c r="CK13">
        <v>0</v>
      </c>
      <c r="CL13">
        <v>3</v>
      </c>
      <c r="CM13">
        <v>1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1</v>
      </c>
      <c r="CU13">
        <v>0</v>
      </c>
      <c r="CV13">
        <v>0</v>
      </c>
      <c r="CW13">
        <v>0</v>
      </c>
      <c r="CX13">
        <v>1</v>
      </c>
      <c r="CY13">
        <v>25</v>
      </c>
      <c r="CZ13">
        <v>6</v>
      </c>
      <c r="DA13">
        <v>3</v>
      </c>
      <c r="DB13">
        <v>0</v>
      </c>
      <c r="DC13">
        <v>0</v>
      </c>
      <c r="DD13">
        <v>1</v>
      </c>
      <c r="DE13">
        <v>0</v>
      </c>
      <c r="DF13">
        <v>0</v>
      </c>
      <c r="DG13">
        <v>0</v>
      </c>
      <c r="DH13">
        <v>0</v>
      </c>
      <c r="DI13">
        <v>15</v>
      </c>
      <c r="DJ13">
        <v>25</v>
      </c>
      <c r="DK13">
        <v>38</v>
      </c>
      <c r="DL13">
        <v>7</v>
      </c>
      <c r="DM13">
        <v>1</v>
      </c>
      <c r="DN13">
        <v>0</v>
      </c>
      <c r="DO13">
        <v>0</v>
      </c>
      <c r="DP13">
        <v>28</v>
      </c>
      <c r="DQ13">
        <v>1</v>
      </c>
      <c r="DR13">
        <v>0</v>
      </c>
      <c r="DS13">
        <v>0</v>
      </c>
      <c r="DT13">
        <v>0</v>
      </c>
      <c r="DU13">
        <v>1</v>
      </c>
      <c r="DV13">
        <v>38</v>
      </c>
      <c r="DW13">
        <v>139</v>
      </c>
      <c r="DX13">
        <v>4</v>
      </c>
      <c r="DY13">
        <v>4</v>
      </c>
      <c r="DZ13">
        <v>1</v>
      </c>
      <c r="EA13">
        <v>129</v>
      </c>
      <c r="EB13">
        <v>1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139</v>
      </c>
      <c r="EI13">
        <v>1</v>
      </c>
      <c r="EJ13">
        <v>0</v>
      </c>
      <c r="EK13">
        <v>0</v>
      </c>
      <c r="EL13">
        <v>0</v>
      </c>
      <c r="EM13">
        <v>1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1</v>
      </c>
    </row>
    <row r="14" spans="1:150" ht="12.75">
      <c r="A14">
        <v>9</v>
      </c>
      <c r="B14" t="str">
        <f t="shared" si="2"/>
        <v>060303</v>
      </c>
      <c r="C14" t="str">
        <f t="shared" si="3"/>
        <v>Chełm</v>
      </c>
      <c r="D14" t="str">
        <f t="shared" si="0"/>
        <v>chełmski</v>
      </c>
      <c r="E14" t="str">
        <f t="shared" si="1"/>
        <v>lubelskie</v>
      </c>
      <c r="F14">
        <v>3</v>
      </c>
      <c r="G14" t="str">
        <f>"Dom Pomocy Społecznej w Nowinach, Nowiny 31, 22-105 Chełm"</f>
        <v>Dom Pomocy Społecznej w Nowinach, Nowiny 31, 22-105 Chełm</v>
      </c>
      <c r="H14">
        <v>245</v>
      </c>
      <c r="I14">
        <v>245</v>
      </c>
      <c r="J14">
        <v>0</v>
      </c>
      <c r="K14">
        <v>180</v>
      </c>
      <c r="L14">
        <v>111</v>
      </c>
      <c r="M14">
        <v>69</v>
      </c>
      <c r="N14">
        <v>69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69</v>
      </c>
      <c r="Z14">
        <v>0</v>
      </c>
      <c r="AA14">
        <v>0</v>
      </c>
      <c r="AB14">
        <v>69</v>
      </c>
      <c r="AC14">
        <v>2</v>
      </c>
      <c r="AD14">
        <v>67</v>
      </c>
      <c r="AE14">
        <v>10</v>
      </c>
      <c r="AF14">
        <v>4</v>
      </c>
      <c r="AG14">
        <v>1</v>
      </c>
      <c r="AH14">
        <v>0</v>
      </c>
      <c r="AI14">
        <v>0</v>
      </c>
      <c r="AJ14">
        <v>2</v>
      </c>
      <c r="AK14">
        <v>0</v>
      </c>
      <c r="AL14">
        <v>0</v>
      </c>
      <c r="AM14">
        <v>1</v>
      </c>
      <c r="AN14">
        <v>1</v>
      </c>
      <c r="AO14">
        <v>1</v>
      </c>
      <c r="AP14">
        <v>10</v>
      </c>
      <c r="AQ14">
        <v>2</v>
      </c>
      <c r="AR14">
        <v>1</v>
      </c>
      <c r="AS14">
        <v>0</v>
      </c>
      <c r="AT14">
        <v>0</v>
      </c>
      <c r="AU14">
        <v>0</v>
      </c>
      <c r="AV14">
        <v>1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2</v>
      </c>
      <c r="BC14">
        <v>2</v>
      </c>
      <c r="BD14">
        <v>2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2</v>
      </c>
      <c r="BO14">
        <v>23</v>
      </c>
      <c r="BP14">
        <v>0</v>
      </c>
      <c r="BQ14">
        <v>15</v>
      </c>
      <c r="BR14">
        <v>4</v>
      </c>
      <c r="BS14">
        <v>3</v>
      </c>
      <c r="BT14">
        <v>0</v>
      </c>
      <c r="BU14">
        <v>0</v>
      </c>
      <c r="BV14">
        <v>1</v>
      </c>
      <c r="BW14">
        <v>0</v>
      </c>
      <c r="BX14">
        <v>0</v>
      </c>
      <c r="BY14">
        <v>0</v>
      </c>
      <c r="BZ14">
        <v>23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1</v>
      </c>
      <c r="CN14">
        <v>1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1</v>
      </c>
      <c r="CY14">
        <v>1</v>
      </c>
      <c r="CZ14">
        <v>0</v>
      </c>
      <c r="DA14">
        <v>1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1</v>
      </c>
      <c r="DK14">
        <v>2</v>
      </c>
      <c r="DL14">
        <v>0</v>
      </c>
      <c r="DM14">
        <v>0</v>
      </c>
      <c r="DN14">
        <v>0</v>
      </c>
      <c r="DO14">
        <v>0</v>
      </c>
      <c r="DP14">
        <v>2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2</v>
      </c>
      <c r="DW14">
        <v>26</v>
      </c>
      <c r="DX14">
        <v>0</v>
      </c>
      <c r="DY14">
        <v>1</v>
      </c>
      <c r="DZ14">
        <v>0</v>
      </c>
      <c r="EA14">
        <v>25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26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</row>
    <row r="15" spans="1:150" ht="12.75">
      <c r="A15">
        <v>10</v>
      </c>
      <c r="B15" t="str">
        <f t="shared" si="2"/>
        <v>060303</v>
      </c>
      <c r="C15" t="str">
        <f t="shared" si="3"/>
        <v>Chełm</v>
      </c>
      <c r="D15" t="str">
        <f t="shared" si="0"/>
        <v>chełmski</v>
      </c>
      <c r="E15" t="str">
        <f t="shared" si="1"/>
        <v>lubelskie</v>
      </c>
      <c r="F15">
        <v>4</v>
      </c>
      <c r="G15" t="str">
        <f>"Świetlica w Wólce Czułczyckiej, Wólka Czułczycka 46, 22-106 Chełm"</f>
        <v>Świetlica w Wólce Czułczyckiej, Wólka Czułczycka 46, 22-106 Chełm</v>
      </c>
      <c r="H15">
        <v>209</v>
      </c>
      <c r="I15">
        <v>209</v>
      </c>
      <c r="J15">
        <v>0</v>
      </c>
      <c r="K15">
        <v>150</v>
      </c>
      <c r="L15">
        <v>129</v>
      </c>
      <c r="M15">
        <v>21</v>
      </c>
      <c r="N15">
        <v>21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21</v>
      </c>
      <c r="Z15">
        <v>0</v>
      </c>
      <c r="AA15">
        <v>0</v>
      </c>
      <c r="AB15">
        <v>21</v>
      </c>
      <c r="AC15">
        <v>0</v>
      </c>
      <c r="AD15">
        <v>21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1</v>
      </c>
      <c r="AR15">
        <v>1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1</v>
      </c>
      <c r="BC15">
        <v>3</v>
      </c>
      <c r="BD15">
        <v>2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1</v>
      </c>
      <c r="BM15">
        <v>0</v>
      </c>
      <c r="BN15">
        <v>3</v>
      </c>
      <c r="BO15">
        <v>6</v>
      </c>
      <c r="BP15">
        <v>0</v>
      </c>
      <c r="BQ15">
        <v>5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1</v>
      </c>
      <c r="BX15">
        <v>0</v>
      </c>
      <c r="BY15">
        <v>0</v>
      </c>
      <c r="BZ15">
        <v>6</v>
      </c>
      <c r="CA15">
        <v>1</v>
      </c>
      <c r="CB15">
        <v>0</v>
      </c>
      <c r="CC15">
        <v>0</v>
      </c>
      <c r="CD15">
        <v>0</v>
      </c>
      <c r="CE15">
        <v>1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1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1</v>
      </c>
      <c r="DL15">
        <v>0</v>
      </c>
      <c r="DM15">
        <v>0</v>
      </c>
      <c r="DN15">
        <v>0</v>
      </c>
      <c r="DO15">
        <v>0</v>
      </c>
      <c r="DP15">
        <v>1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1</v>
      </c>
      <c r="DW15">
        <v>9</v>
      </c>
      <c r="DX15">
        <v>0</v>
      </c>
      <c r="DY15">
        <v>0</v>
      </c>
      <c r="DZ15">
        <v>0</v>
      </c>
      <c r="EA15">
        <v>9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9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</row>
    <row r="16" spans="1:150" ht="12.75">
      <c r="A16">
        <v>11</v>
      </c>
      <c r="B16" t="str">
        <f t="shared" si="2"/>
        <v>060303</v>
      </c>
      <c r="C16" t="str">
        <f t="shared" si="3"/>
        <v>Chełm</v>
      </c>
      <c r="D16" t="str">
        <f t="shared" si="0"/>
        <v>chełmski</v>
      </c>
      <c r="E16" t="str">
        <f t="shared" si="1"/>
        <v>lubelskie</v>
      </c>
      <c r="F16">
        <v>5</v>
      </c>
      <c r="G16" t="str">
        <f>"Świetlica w Horodyszczu, Horodyszcze 43b, 22-151 Chełm"</f>
        <v>Świetlica w Horodyszczu, Horodyszcze 43b, 22-151 Chełm</v>
      </c>
      <c r="H16">
        <v>800</v>
      </c>
      <c r="I16">
        <v>800</v>
      </c>
      <c r="J16">
        <v>0</v>
      </c>
      <c r="K16">
        <v>560</v>
      </c>
      <c r="L16">
        <v>365</v>
      </c>
      <c r="M16">
        <v>195</v>
      </c>
      <c r="N16">
        <v>195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195</v>
      </c>
      <c r="Z16">
        <v>0</v>
      </c>
      <c r="AA16">
        <v>0</v>
      </c>
      <c r="AB16">
        <v>195</v>
      </c>
      <c r="AC16">
        <v>4</v>
      </c>
      <c r="AD16">
        <v>191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2</v>
      </c>
      <c r="AR16">
        <v>0</v>
      </c>
      <c r="AS16">
        <v>1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1</v>
      </c>
      <c r="BB16">
        <v>2</v>
      </c>
      <c r="BC16">
        <v>7</v>
      </c>
      <c r="BD16">
        <v>2</v>
      </c>
      <c r="BE16">
        <v>0</v>
      </c>
      <c r="BF16">
        <v>0</v>
      </c>
      <c r="BG16">
        <v>0</v>
      </c>
      <c r="BH16">
        <v>5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7</v>
      </c>
      <c r="BO16">
        <v>58</v>
      </c>
      <c r="BP16">
        <v>12</v>
      </c>
      <c r="BQ16">
        <v>27</v>
      </c>
      <c r="BR16">
        <v>4</v>
      </c>
      <c r="BS16">
        <v>15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58</v>
      </c>
      <c r="CA16">
        <v>5</v>
      </c>
      <c r="CB16">
        <v>2</v>
      </c>
      <c r="CC16">
        <v>1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2</v>
      </c>
      <c r="CK16">
        <v>0</v>
      </c>
      <c r="CL16">
        <v>5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11</v>
      </c>
      <c r="CZ16">
        <v>6</v>
      </c>
      <c r="DA16">
        <v>0</v>
      </c>
      <c r="DB16">
        <v>1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4</v>
      </c>
      <c r="DJ16">
        <v>11</v>
      </c>
      <c r="DK16">
        <v>27</v>
      </c>
      <c r="DL16">
        <v>2</v>
      </c>
      <c r="DM16">
        <v>0</v>
      </c>
      <c r="DN16">
        <v>0</v>
      </c>
      <c r="DO16">
        <v>0</v>
      </c>
      <c r="DP16">
        <v>25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27</v>
      </c>
      <c r="DW16">
        <v>81</v>
      </c>
      <c r="DX16">
        <v>0</v>
      </c>
      <c r="DY16">
        <v>1</v>
      </c>
      <c r="DZ16">
        <v>1</v>
      </c>
      <c r="EA16">
        <v>78</v>
      </c>
      <c r="EB16">
        <v>1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81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</row>
    <row r="17" spans="1:150" ht="12.75">
      <c r="A17">
        <v>12</v>
      </c>
      <c r="B17" t="str">
        <f t="shared" si="2"/>
        <v>060303</v>
      </c>
      <c r="C17" t="str">
        <f t="shared" si="3"/>
        <v>Chełm</v>
      </c>
      <c r="D17" t="str">
        <f t="shared" si="0"/>
        <v>chełmski</v>
      </c>
      <c r="E17" t="str">
        <f t="shared" si="1"/>
        <v>lubelskie</v>
      </c>
      <c r="F17">
        <v>6</v>
      </c>
      <c r="G17" t="str">
        <f>"Zespół Szkół w Stawie, Staw 72, 22-151 Chełm"</f>
        <v>Zespół Szkół w Stawie, Staw 72, 22-151 Chełm</v>
      </c>
      <c r="H17">
        <v>817</v>
      </c>
      <c r="I17">
        <v>817</v>
      </c>
      <c r="J17">
        <v>0</v>
      </c>
      <c r="K17">
        <v>570</v>
      </c>
      <c r="L17">
        <v>426</v>
      </c>
      <c r="M17">
        <v>144</v>
      </c>
      <c r="N17">
        <v>144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144</v>
      </c>
      <c r="Z17">
        <v>0</v>
      </c>
      <c r="AA17">
        <v>0</v>
      </c>
      <c r="AB17">
        <v>144</v>
      </c>
      <c r="AC17">
        <v>7</v>
      </c>
      <c r="AD17">
        <v>137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10</v>
      </c>
      <c r="BD17">
        <v>3</v>
      </c>
      <c r="BE17">
        <v>0</v>
      </c>
      <c r="BF17">
        <v>0</v>
      </c>
      <c r="BG17">
        <v>0</v>
      </c>
      <c r="BH17">
        <v>7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10</v>
      </c>
      <c r="BO17">
        <v>38</v>
      </c>
      <c r="BP17">
        <v>4</v>
      </c>
      <c r="BQ17">
        <v>27</v>
      </c>
      <c r="BR17">
        <v>0</v>
      </c>
      <c r="BS17">
        <v>7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38</v>
      </c>
      <c r="CA17">
        <v>1</v>
      </c>
      <c r="CB17">
        <v>1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1</v>
      </c>
      <c r="CM17">
        <v>2</v>
      </c>
      <c r="CN17">
        <v>0</v>
      </c>
      <c r="CO17">
        <v>2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2</v>
      </c>
      <c r="CY17">
        <v>5</v>
      </c>
      <c r="CZ17">
        <v>2</v>
      </c>
      <c r="DA17">
        <v>0</v>
      </c>
      <c r="DB17">
        <v>1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2</v>
      </c>
      <c r="DJ17">
        <v>5</v>
      </c>
      <c r="DK17">
        <v>23</v>
      </c>
      <c r="DL17">
        <v>2</v>
      </c>
      <c r="DM17">
        <v>0</v>
      </c>
      <c r="DN17">
        <v>1</v>
      </c>
      <c r="DO17">
        <v>2</v>
      </c>
      <c r="DP17">
        <v>17</v>
      </c>
      <c r="DQ17">
        <v>1</v>
      </c>
      <c r="DR17">
        <v>0</v>
      </c>
      <c r="DS17">
        <v>0</v>
      </c>
      <c r="DT17">
        <v>0</v>
      </c>
      <c r="DU17">
        <v>0</v>
      </c>
      <c r="DV17">
        <v>23</v>
      </c>
      <c r="DW17">
        <v>58</v>
      </c>
      <c r="DX17">
        <v>0</v>
      </c>
      <c r="DY17">
        <v>5</v>
      </c>
      <c r="DZ17">
        <v>0</v>
      </c>
      <c r="EA17">
        <v>53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58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</row>
    <row r="18" spans="1:150" ht="12.75">
      <c r="A18">
        <v>13</v>
      </c>
      <c r="B18" t="str">
        <f t="shared" si="2"/>
        <v>060303</v>
      </c>
      <c r="C18" t="str">
        <f t="shared" si="3"/>
        <v>Chełm</v>
      </c>
      <c r="D18" t="str">
        <f t="shared" si="0"/>
        <v>chełmski</v>
      </c>
      <c r="E18" t="str">
        <f t="shared" si="1"/>
        <v>lubelskie</v>
      </c>
      <c r="F18">
        <v>7</v>
      </c>
      <c r="G18" t="str">
        <f>"Zespół Szkół w Stołpiu, Nowosiółki-Kolonia 54, 22-151 Chełm"</f>
        <v>Zespół Szkół w Stołpiu, Nowosiółki-Kolonia 54, 22-151 Chełm</v>
      </c>
      <c r="H18">
        <v>731</v>
      </c>
      <c r="I18">
        <v>731</v>
      </c>
      <c r="J18">
        <v>0</v>
      </c>
      <c r="K18">
        <v>520</v>
      </c>
      <c r="L18">
        <v>413</v>
      </c>
      <c r="M18">
        <v>107</v>
      </c>
      <c r="N18">
        <v>107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107</v>
      </c>
      <c r="Z18">
        <v>0</v>
      </c>
      <c r="AA18">
        <v>0</v>
      </c>
      <c r="AB18">
        <v>107</v>
      </c>
      <c r="AC18">
        <v>1</v>
      </c>
      <c r="AD18">
        <v>106</v>
      </c>
      <c r="AE18">
        <v>2</v>
      </c>
      <c r="AF18">
        <v>0</v>
      </c>
      <c r="AG18">
        <v>0</v>
      </c>
      <c r="AH18">
        <v>1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1</v>
      </c>
      <c r="AP18">
        <v>2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3</v>
      </c>
      <c r="BD18">
        <v>0</v>
      </c>
      <c r="BE18">
        <v>0</v>
      </c>
      <c r="BF18">
        <v>0</v>
      </c>
      <c r="BG18">
        <v>0</v>
      </c>
      <c r="BH18">
        <v>2</v>
      </c>
      <c r="BI18">
        <v>0</v>
      </c>
      <c r="BJ18">
        <v>0</v>
      </c>
      <c r="BK18">
        <v>0</v>
      </c>
      <c r="BL18">
        <v>1</v>
      </c>
      <c r="BM18">
        <v>0</v>
      </c>
      <c r="BN18">
        <v>3</v>
      </c>
      <c r="BO18">
        <v>29</v>
      </c>
      <c r="BP18">
        <v>9</v>
      </c>
      <c r="BQ18">
        <v>1</v>
      </c>
      <c r="BR18">
        <v>1</v>
      </c>
      <c r="BS18">
        <v>16</v>
      </c>
      <c r="BT18">
        <v>0</v>
      </c>
      <c r="BU18">
        <v>0</v>
      </c>
      <c r="BV18">
        <v>0</v>
      </c>
      <c r="BW18">
        <v>2</v>
      </c>
      <c r="BX18">
        <v>0</v>
      </c>
      <c r="BY18">
        <v>0</v>
      </c>
      <c r="BZ18">
        <v>29</v>
      </c>
      <c r="CA18">
        <v>2</v>
      </c>
      <c r="CB18">
        <v>0</v>
      </c>
      <c r="CC18">
        <v>1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1</v>
      </c>
      <c r="CK18">
        <v>0</v>
      </c>
      <c r="CL18">
        <v>2</v>
      </c>
      <c r="CM18">
        <v>1</v>
      </c>
      <c r="CN18">
        <v>1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1</v>
      </c>
      <c r="CY18">
        <v>6</v>
      </c>
      <c r="CZ18">
        <v>2</v>
      </c>
      <c r="DA18">
        <v>0</v>
      </c>
      <c r="DB18">
        <v>0</v>
      </c>
      <c r="DC18">
        <v>0</v>
      </c>
      <c r="DD18">
        <v>0</v>
      </c>
      <c r="DE18">
        <v>1</v>
      </c>
      <c r="DF18">
        <v>0</v>
      </c>
      <c r="DG18">
        <v>0</v>
      </c>
      <c r="DH18">
        <v>0</v>
      </c>
      <c r="DI18">
        <v>3</v>
      </c>
      <c r="DJ18">
        <v>6</v>
      </c>
      <c r="DK18">
        <v>19</v>
      </c>
      <c r="DL18">
        <v>2</v>
      </c>
      <c r="DM18">
        <v>0</v>
      </c>
      <c r="DN18">
        <v>0</v>
      </c>
      <c r="DO18">
        <v>0</v>
      </c>
      <c r="DP18">
        <v>17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19</v>
      </c>
      <c r="DW18">
        <v>43</v>
      </c>
      <c r="DX18">
        <v>0</v>
      </c>
      <c r="DY18">
        <v>0</v>
      </c>
      <c r="DZ18">
        <v>0</v>
      </c>
      <c r="EA18">
        <v>43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43</v>
      </c>
      <c r="EI18">
        <v>1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1</v>
      </c>
      <c r="EQ18">
        <v>0</v>
      </c>
      <c r="ER18">
        <v>0</v>
      </c>
      <c r="ES18">
        <v>0</v>
      </c>
      <c r="ET18">
        <v>1</v>
      </c>
    </row>
    <row r="19" spans="1:150" ht="12.75">
      <c r="A19">
        <v>14</v>
      </c>
      <c r="B19" t="str">
        <f t="shared" si="2"/>
        <v>060303</v>
      </c>
      <c r="C19" t="str">
        <f t="shared" si="3"/>
        <v>Chełm</v>
      </c>
      <c r="D19" t="str">
        <f t="shared" si="0"/>
        <v>chełmski</v>
      </c>
      <c r="E19" t="str">
        <f t="shared" si="1"/>
        <v>lubelskie</v>
      </c>
      <c r="F19">
        <v>8</v>
      </c>
      <c r="G19" t="str">
        <f>"Multimedialne Centrum Informacyjno-Dydaktyczne Gminy Chełm w Janowie, ul. Balladyny 5, Janów, 22-151 Chełm"</f>
        <v>Multimedialne Centrum Informacyjno-Dydaktyczne Gminy Chełm w Janowie, ul. Balladyny 5, Janów, 22-151 Chełm</v>
      </c>
      <c r="H19">
        <v>424</v>
      </c>
      <c r="I19">
        <v>424</v>
      </c>
      <c r="J19">
        <v>0</v>
      </c>
      <c r="K19">
        <v>300</v>
      </c>
      <c r="L19">
        <v>189</v>
      </c>
      <c r="M19">
        <v>111</v>
      </c>
      <c r="N19">
        <v>111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111</v>
      </c>
      <c r="Z19">
        <v>0</v>
      </c>
      <c r="AA19">
        <v>0</v>
      </c>
      <c r="AB19">
        <v>111</v>
      </c>
      <c r="AC19">
        <v>3</v>
      </c>
      <c r="AD19">
        <v>108</v>
      </c>
      <c r="AE19">
        <v>2</v>
      </c>
      <c r="AF19">
        <v>1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1</v>
      </c>
      <c r="AN19">
        <v>0</v>
      </c>
      <c r="AO19">
        <v>0</v>
      </c>
      <c r="AP19">
        <v>2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1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1</v>
      </c>
      <c r="BM19">
        <v>0</v>
      </c>
      <c r="BN19">
        <v>1</v>
      </c>
      <c r="BO19">
        <v>19</v>
      </c>
      <c r="BP19">
        <v>3</v>
      </c>
      <c r="BQ19">
        <v>13</v>
      </c>
      <c r="BR19">
        <v>1</v>
      </c>
      <c r="BS19">
        <v>1</v>
      </c>
      <c r="BT19">
        <v>0</v>
      </c>
      <c r="BU19">
        <v>0</v>
      </c>
      <c r="BV19">
        <v>0</v>
      </c>
      <c r="BW19">
        <v>1</v>
      </c>
      <c r="BX19">
        <v>0</v>
      </c>
      <c r="BY19">
        <v>0</v>
      </c>
      <c r="BZ19">
        <v>19</v>
      </c>
      <c r="CA19">
        <v>1</v>
      </c>
      <c r="CB19">
        <v>1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1</v>
      </c>
      <c r="CM19">
        <v>3</v>
      </c>
      <c r="CN19">
        <v>3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3</v>
      </c>
      <c r="CY19">
        <v>4</v>
      </c>
      <c r="CZ19">
        <v>1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1</v>
      </c>
      <c r="DH19">
        <v>0</v>
      </c>
      <c r="DI19">
        <v>2</v>
      </c>
      <c r="DJ19">
        <v>4</v>
      </c>
      <c r="DK19">
        <v>30</v>
      </c>
      <c r="DL19">
        <v>5</v>
      </c>
      <c r="DM19">
        <v>0</v>
      </c>
      <c r="DN19">
        <v>0</v>
      </c>
      <c r="DO19">
        <v>0</v>
      </c>
      <c r="DP19">
        <v>25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30</v>
      </c>
      <c r="DW19">
        <v>48</v>
      </c>
      <c r="DX19">
        <v>3</v>
      </c>
      <c r="DY19">
        <v>2</v>
      </c>
      <c r="DZ19">
        <v>0</v>
      </c>
      <c r="EA19">
        <v>39</v>
      </c>
      <c r="EB19">
        <v>1</v>
      </c>
      <c r="EC19">
        <v>2</v>
      </c>
      <c r="ED19">
        <v>1</v>
      </c>
      <c r="EE19">
        <v>0</v>
      </c>
      <c r="EF19">
        <v>0</v>
      </c>
      <c r="EG19">
        <v>0</v>
      </c>
      <c r="EH19">
        <v>48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</row>
    <row r="20" spans="1:150" ht="12.75">
      <c r="A20">
        <v>15</v>
      </c>
      <c r="B20" t="str">
        <f t="shared" si="2"/>
        <v>060303</v>
      </c>
      <c r="C20" t="str">
        <f t="shared" si="3"/>
        <v>Chełm</v>
      </c>
      <c r="D20" t="str">
        <f t="shared" si="0"/>
        <v>chełmski</v>
      </c>
      <c r="E20" t="str">
        <f t="shared" si="1"/>
        <v>lubelskie</v>
      </c>
      <c r="F20">
        <v>9</v>
      </c>
      <c r="G20" t="str">
        <f>"Urząd Gminy Chełm, ul. Gminna 18, Pokrówka, 22-100 Chełm"</f>
        <v>Urząd Gminy Chełm, ul. Gminna 18, Pokrówka, 22-100 Chełm</v>
      </c>
      <c r="H20">
        <v>907</v>
      </c>
      <c r="I20">
        <v>907</v>
      </c>
      <c r="J20">
        <v>0</v>
      </c>
      <c r="K20">
        <v>640</v>
      </c>
      <c r="L20">
        <v>430</v>
      </c>
      <c r="M20">
        <v>210</v>
      </c>
      <c r="N20">
        <v>210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210</v>
      </c>
      <c r="Z20">
        <v>0</v>
      </c>
      <c r="AA20">
        <v>0</v>
      </c>
      <c r="AB20">
        <v>210</v>
      </c>
      <c r="AC20">
        <v>4</v>
      </c>
      <c r="AD20">
        <v>206</v>
      </c>
      <c r="AE20">
        <v>7</v>
      </c>
      <c r="AF20">
        <v>4</v>
      </c>
      <c r="AG20">
        <v>0</v>
      </c>
      <c r="AH20">
        <v>0</v>
      </c>
      <c r="AI20">
        <v>1</v>
      </c>
      <c r="AJ20">
        <v>0</v>
      </c>
      <c r="AK20">
        <v>2</v>
      </c>
      <c r="AL20">
        <v>0</v>
      </c>
      <c r="AM20">
        <v>0</v>
      </c>
      <c r="AN20">
        <v>0</v>
      </c>
      <c r="AO20">
        <v>0</v>
      </c>
      <c r="AP20">
        <v>7</v>
      </c>
      <c r="AQ20">
        <v>5</v>
      </c>
      <c r="AR20">
        <v>5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5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49</v>
      </c>
      <c r="BP20">
        <v>10</v>
      </c>
      <c r="BQ20">
        <v>26</v>
      </c>
      <c r="BR20">
        <v>0</v>
      </c>
      <c r="BS20">
        <v>10</v>
      </c>
      <c r="BT20">
        <v>2</v>
      </c>
      <c r="BU20">
        <v>0</v>
      </c>
      <c r="BV20">
        <v>0</v>
      </c>
      <c r="BW20">
        <v>1</v>
      </c>
      <c r="BX20">
        <v>0</v>
      </c>
      <c r="BY20">
        <v>0</v>
      </c>
      <c r="BZ20">
        <v>49</v>
      </c>
      <c r="CA20">
        <v>1</v>
      </c>
      <c r="CB20">
        <v>1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1</v>
      </c>
      <c r="CM20">
        <v>2</v>
      </c>
      <c r="CN20">
        <v>1</v>
      </c>
      <c r="CO20">
        <v>0</v>
      </c>
      <c r="CP20">
        <v>0</v>
      </c>
      <c r="CQ20">
        <v>1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2</v>
      </c>
      <c r="CY20">
        <v>14</v>
      </c>
      <c r="CZ20">
        <v>7</v>
      </c>
      <c r="DA20">
        <v>1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6</v>
      </c>
      <c r="DJ20">
        <v>14</v>
      </c>
      <c r="DK20">
        <v>34</v>
      </c>
      <c r="DL20">
        <v>6</v>
      </c>
      <c r="DM20">
        <v>0</v>
      </c>
      <c r="DN20">
        <v>0</v>
      </c>
      <c r="DO20">
        <v>1</v>
      </c>
      <c r="DP20">
        <v>27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34</v>
      </c>
      <c r="DW20">
        <v>94</v>
      </c>
      <c r="DX20">
        <v>0</v>
      </c>
      <c r="DY20">
        <v>2</v>
      </c>
      <c r="DZ20">
        <v>0</v>
      </c>
      <c r="EA20">
        <v>91</v>
      </c>
      <c r="EB20">
        <v>1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94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</row>
    <row r="21" spans="1:150" ht="12.75">
      <c r="A21">
        <v>16</v>
      </c>
      <c r="B21" t="str">
        <f t="shared" si="2"/>
        <v>060303</v>
      </c>
      <c r="C21" t="str">
        <f t="shared" si="3"/>
        <v>Chełm</v>
      </c>
      <c r="D21" t="str">
        <f t="shared" si="0"/>
        <v>chełmski</v>
      </c>
      <c r="E21" t="str">
        <f t="shared" si="1"/>
        <v>lubelskie</v>
      </c>
      <c r="F21">
        <v>10</v>
      </c>
      <c r="G21" t="str">
        <f>"Świetlica Gospodarstwa Gruntów Marginalnych i Mieszkaniowych Zasobu WłasnościRolnej Skarbu Państaw w Pokrówce,, ul. Wiosenna 4, Pokrówka, 22-100 Chełm"</f>
        <v>Świetlica Gospodarstwa Gruntów Marginalnych i Mieszkaniowych Zasobu WłasnościRolnej Skarbu Państaw w Pokrówce,, ul. Wiosenna 4, Pokrówka, 22-100 Chełm</v>
      </c>
      <c r="H21">
        <v>562</v>
      </c>
      <c r="I21">
        <v>562</v>
      </c>
      <c r="J21">
        <v>0</v>
      </c>
      <c r="K21">
        <v>380</v>
      </c>
      <c r="L21">
        <v>267</v>
      </c>
      <c r="M21">
        <v>113</v>
      </c>
      <c r="N21">
        <v>113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113</v>
      </c>
      <c r="Z21">
        <v>0</v>
      </c>
      <c r="AA21">
        <v>0</v>
      </c>
      <c r="AB21">
        <v>113</v>
      </c>
      <c r="AC21">
        <v>4</v>
      </c>
      <c r="AD21">
        <v>109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1</v>
      </c>
      <c r="AR21">
        <v>1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1</v>
      </c>
      <c r="BC21">
        <v>3</v>
      </c>
      <c r="BD21">
        <v>1</v>
      </c>
      <c r="BE21">
        <v>0</v>
      </c>
      <c r="BF21">
        <v>1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1</v>
      </c>
      <c r="BM21">
        <v>0</v>
      </c>
      <c r="BN21">
        <v>3</v>
      </c>
      <c r="BO21">
        <v>22</v>
      </c>
      <c r="BP21">
        <v>1</v>
      </c>
      <c r="BQ21">
        <v>14</v>
      </c>
      <c r="BR21">
        <v>2</v>
      </c>
      <c r="BS21">
        <v>5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22</v>
      </c>
      <c r="CA21">
        <v>1</v>
      </c>
      <c r="CB21">
        <v>1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1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13</v>
      </c>
      <c r="DL21">
        <v>1</v>
      </c>
      <c r="DM21">
        <v>0</v>
      </c>
      <c r="DN21">
        <v>0</v>
      </c>
      <c r="DO21">
        <v>0</v>
      </c>
      <c r="DP21">
        <v>12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13</v>
      </c>
      <c r="DW21">
        <v>68</v>
      </c>
      <c r="DX21">
        <v>0</v>
      </c>
      <c r="DY21">
        <v>9</v>
      </c>
      <c r="DZ21">
        <v>0</v>
      </c>
      <c r="EA21">
        <v>57</v>
      </c>
      <c r="EB21">
        <v>0</v>
      </c>
      <c r="EC21">
        <v>0</v>
      </c>
      <c r="ED21">
        <v>1</v>
      </c>
      <c r="EE21">
        <v>0</v>
      </c>
      <c r="EF21">
        <v>0</v>
      </c>
      <c r="EG21">
        <v>1</v>
      </c>
      <c r="EH21">
        <v>68</v>
      </c>
      <c r="EI21">
        <v>1</v>
      </c>
      <c r="EJ21">
        <v>0</v>
      </c>
      <c r="EK21">
        <v>0</v>
      </c>
      <c r="EL21">
        <v>1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1</v>
      </c>
    </row>
    <row r="22" spans="1:150" ht="12.75">
      <c r="A22">
        <v>17</v>
      </c>
      <c r="B22" t="str">
        <f t="shared" si="2"/>
        <v>060303</v>
      </c>
      <c r="C22" t="str">
        <f t="shared" si="3"/>
        <v>Chełm</v>
      </c>
      <c r="D22" t="str">
        <f t="shared" si="0"/>
        <v>chełmski</v>
      </c>
      <c r="E22" t="str">
        <f t="shared" si="1"/>
        <v>lubelskie</v>
      </c>
      <c r="F22">
        <v>11</v>
      </c>
      <c r="G22" t="str">
        <f>"Ośrodek Kultury Gminy Chełm w Żółtańcach, Żółtańce 44b, 22-100 Chełm"</f>
        <v>Ośrodek Kultury Gminy Chełm w Żółtańcach, Żółtańce 44b, 22-100 Chełm</v>
      </c>
      <c r="H22">
        <v>229</v>
      </c>
      <c r="I22">
        <v>229</v>
      </c>
      <c r="J22">
        <v>0</v>
      </c>
      <c r="K22">
        <v>160</v>
      </c>
      <c r="L22">
        <v>109</v>
      </c>
      <c r="M22">
        <v>51</v>
      </c>
      <c r="N22">
        <v>51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51</v>
      </c>
      <c r="Z22">
        <v>0</v>
      </c>
      <c r="AA22">
        <v>0</v>
      </c>
      <c r="AB22">
        <v>51</v>
      </c>
      <c r="AC22">
        <v>1</v>
      </c>
      <c r="AD22">
        <v>50</v>
      </c>
      <c r="AE22">
        <v>1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1</v>
      </c>
      <c r="AP22">
        <v>1</v>
      </c>
      <c r="AQ22">
        <v>1</v>
      </c>
      <c r="AR22">
        <v>1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1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6</v>
      </c>
      <c r="BP22">
        <v>3</v>
      </c>
      <c r="BQ22">
        <v>1</v>
      </c>
      <c r="BR22">
        <v>0</v>
      </c>
      <c r="BS22">
        <v>1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1</v>
      </c>
      <c r="BZ22">
        <v>6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2</v>
      </c>
      <c r="CZ22">
        <v>1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1</v>
      </c>
      <c r="DJ22">
        <v>2</v>
      </c>
      <c r="DK22">
        <v>17</v>
      </c>
      <c r="DL22">
        <v>0</v>
      </c>
      <c r="DM22">
        <v>2</v>
      </c>
      <c r="DN22">
        <v>0</v>
      </c>
      <c r="DO22">
        <v>0</v>
      </c>
      <c r="DP22">
        <v>15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17</v>
      </c>
      <c r="DW22">
        <v>23</v>
      </c>
      <c r="DX22">
        <v>0</v>
      </c>
      <c r="DY22">
        <v>0</v>
      </c>
      <c r="DZ22">
        <v>0</v>
      </c>
      <c r="EA22">
        <v>23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23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</row>
    <row r="23" spans="1:150" ht="12.75">
      <c r="A23">
        <v>18</v>
      </c>
      <c r="B23" t="str">
        <f t="shared" si="2"/>
        <v>060303</v>
      </c>
      <c r="C23" t="str">
        <f t="shared" si="3"/>
        <v>Chełm</v>
      </c>
      <c r="D23" t="str">
        <f t="shared" si="0"/>
        <v>chełmski</v>
      </c>
      <c r="E23" t="str">
        <f t="shared" si="1"/>
        <v>lubelskie</v>
      </c>
      <c r="F23">
        <v>12</v>
      </c>
      <c r="G23" t="str">
        <f>"Zespół Szkół w Żółtańcach, ul. Metalowa 89, Żółtańce-Kolonia, 22-100 Chełm"</f>
        <v>Zespół Szkół w Żółtańcach, ul. Metalowa 89, Żółtańce-Kolonia, 22-100 Chełm</v>
      </c>
      <c r="H23">
        <v>459</v>
      </c>
      <c r="I23">
        <v>459</v>
      </c>
      <c r="J23">
        <v>0</v>
      </c>
      <c r="K23">
        <v>320</v>
      </c>
      <c r="L23">
        <v>186</v>
      </c>
      <c r="M23">
        <v>134</v>
      </c>
      <c r="N23">
        <v>134</v>
      </c>
      <c r="O23">
        <v>0</v>
      </c>
      <c r="P23">
        <v>0</v>
      </c>
      <c r="Q23">
        <v>1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134</v>
      </c>
      <c r="Z23">
        <v>0</v>
      </c>
      <c r="AA23">
        <v>0</v>
      </c>
      <c r="AB23">
        <v>134</v>
      </c>
      <c r="AC23">
        <v>2</v>
      </c>
      <c r="AD23">
        <v>132</v>
      </c>
      <c r="AE23">
        <v>4</v>
      </c>
      <c r="AF23">
        <v>2</v>
      </c>
      <c r="AG23">
        <v>0</v>
      </c>
      <c r="AH23">
        <v>0</v>
      </c>
      <c r="AI23">
        <v>1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1</v>
      </c>
      <c r="AP23">
        <v>4</v>
      </c>
      <c r="AQ23">
        <v>7</v>
      </c>
      <c r="AR23">
        <v>7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7</v>
      </c>
      <c r="BC23">
        <v>5</v>
      </c>
      <c r="BD23">
        <v>4</v>
      </c>
      <c r="BE23">
        <v>0</v>
      </c>
      <c r="BF23">
        <v>1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5</v>
      </c>
      <c r="BO23">
        <v>39</v>
      </c>
      <c r="BP23">
        <v>9</v>
      </c>
      <c r="BQ23">
        <v>20</v>
      </c>
      <c r="BR23">
        <v>2</v>
      </c>
      <c r="BS23">
        <v>7</v>
      </c>
      <c r="BT23">
        <v>1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39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5</v>
      </c>
      <c r="CZ23">
        <v>4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1</v>
      </c>
      <c r="DJ23">
        <v>5</v>
      </c>
      <c r="DK23">
        <v>26</v>
      </c>
      <c r="DL23">
        <v>2</v>
      </c>
      <c r="DM23">
        <v>0</v>
      </c>
      <c r="DN23">
        <v>0</v>
      </c>
      <c r="DO23">
        <v>0</v>
      </c>
      <c r="DP23">
        <v>24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26</v>
      </c>
      <c r="DW23">
        <v>46</v>
      </c>
      <c r="DX23">
        <v>0</v>
      </c>
      <c r="DY23">
        <v>1</v>
      </c>
      <c r="DZ23">
        <v>0</v>
      </c>
      <c r="EA23">
        <v>45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46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</row>
    <row r="24" spans="1:150" ht="12.75">
      <c r="A24">
        <v>19</v>
      </c>
      <c r="B24" t="str">
        <f t="shared" si="2"/>
        <v>060303</v>
      </c>
      <c r="C24" t="str">
        <f t="shared" si="3"/>
        <v>Chełm</v>
      </c>
      <c r="D24" t="str">
        <f t="shared" si="0"/>
        <v>chełmski</v>
      </c>
      <c r="E24" t="str">
        <f t="shared" si="1"/>
        <v>lubelskie</v>
      </c>
      <c r="F24">
        <v>13</v>
      </c>
      <c r="G24" t="str">
        <f>"Zespół Szkół w Strupinie Dużym, Strupin Duży 122, 22-100 Chełm"</f>
        <v>Zespół Szkół w Strupinie Dużym, Strupin Duży 122, 22-100 Chełm</v>
      </c>
      <c r="H24">
        <v>822</v>
      </c>
      <c r="I24">
        <v>822</v>
      </c>
      <c r="J24">
        <v>0</v>
      </c>
      <c r="K24">
        <v>580</v>
      </c>
      <c r="L24">
        <v>369</v>
      </c>
      <c r="M24">
        <v>211</v>
      </c>
      <c r="N24">
        <v>211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211</v>
      </c>
      <c r="Z24">
        <v>0</v>
      </c>
      <c r="AA24">
        <v>0</v>
      </c>
      <c r="AB24">
        <v>211</v>
      </c>
      <c r="AC24">
        <v>3</v>
      </c>
      <c r="AD24">
        <v>208</v>
      </c>
      <c r="AE24">
        <v>5</v>
      </c>
      <c r="AF24">
        <v>0</v>
      </c>
      <c r="AG24">
        <v>0</v>
      </c>
      <c r="AH24">
        <v>1</v>
      </c>
      <c r="AI24">
        <v>0</v>
      </c>
      <c r="AJ24">
        <v>1</v>
      </c>
      <c r="AK24">
        <v>0</v>
      </c>
      <c r="AL24">
        <v>1</v>
      </c>
      <c r="AM24">
        <v>0</v>
      </c>
      <c r="AN24">
        <v>0</v>
      </c>
      <c r="AO24">
        <v>2</v>
      </c>
      <c r="AP24">
        <v>5</v>
      </c>
      <c r="AQ24">
        <v>6</v>
      </c>
      <c r="AR24">
        <v>4</v>
      </c>
      <c r="AS24">
        <v>0</v>
      </c>
      <c r="AT24">
        <v>1</v>
      </c>
      <c r="AU24">
        <v>1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6</v>
      </c>
      <c r="BC24">
        <v>1</v>
      </c>
      <c r="BD24">
        <v>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1</v>
      </c>
      <c r="BO24">
        <v>62</v>
      </c>
      <c r="BP24">
        <v>7</v>
      </c>
      <c r="BQ24">
        <v>37</v>
      </c>
      <c r="BR24">
        <v>0</v>
      </c>
      <c r="BS24">
        <v>13</v>
      </c>
      <c r="BT24">
        <v>1</v>
      </c>
      <c r="BU24">
        <v>0</v>
      </c>
      <c r="BV24">
        <v>0</v>
      </c>
      <c r="BW24">
        <v>1</v>
      </c>
      <c r="BX24">
        <v>2</v>
      </c>
      <c r="BY24">
        <v>1</v>
      </c>
      <c r="BZ24">
        <v>62</v>
      </c>
      <c r="CA24">
        <v>2</v>
      </c>
      <c r="CB24">
        <v>0</v>
      </c>
      <c r="CC24">
        <v>1</v>
      </c>
      <c r="CD24">
        <v>0</v>
      </c>
      <c r="CE24">
        <v>1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12</v>
      </c>
      <c r="CZ24">
        <v>5</v>
      </c>
      <c r="DA24">
        <v>0</v>
      </c>
      <c r="DB24">
        <v>0</v>
      </c>
      <c r="DC24">
        <v>0</v>
      </c>
      <c r="DD24">
        <v>2</v>
      </c>
      <c r="DE24">
        <v>0</v>
      </c>
      <c r="DF24">
        <v>0</v>
      </c>
      <c r="DG24">
        <v>1</v>
      </c>
      <c r="DH24">
        <v>0</v>
      </c>
      <c r="DI24">
        <v>4</v>
      </c>
      <c r="DJ24">
        <v>12</v>
      </c>
      <c r="DK24">
        <v>33</v>
      </c>
      <c r="DL24">
        <v>2</v>
      </c>
      <c r="DM24">
        <v>0</v>
      </c>
      <c r="DN24">
        <v>1</v>
      </c>
      <c r="DO24">
        <v>0</v>
      </c>
      <c r="DP24">
        <v>29</v>
      </c>
      <c r="DQ24">
        <v>0</v>
      </c>
      <c r="DR24">
        <v>1</v>
      </c>
      <c r="DS24">
        <v>0</v>
      </c>
      <c r="DT24">
        <v>0</v>
      </c>
      <c r="DU24">
        <v>0</v>
      </c>
      <c r="DV24">
        <v>33</v>
      </c>
      <c r="DW24">
        <v>87</v>
      </c>
      <c r="DX24">
        <v>0</v>
      </c>
      <c r="DY24">
        <v>0</v>
      </c>
      <c r="DZ24">
        <v>0</v>
      </c>
      <c r="EA24">
        <v>87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87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</row>
    <row r="25" spans="1:150" ht="12.75">
      <c r="A25">
        <v>20</v>
      </c>
      <c r="B25" t="str">
        <f t="shared" si="2"/>
        <v>060303</v>
      </c>
      <c r="C25" t="str">
        <f t="shared" si="3"/>
        <v>Chełm</v>
      </c>
      <c r="D25" t="str">
        <f t="shared" si="0"/>
        <v>chełmski</v>
      </c>
      <c r="E25" t="str">
        <f t="shared" si="1"/>
        <v>lubelskie</v>
      </c>
      <c r="F25">
        <v>14</v>
      </c>
      <c r="G25" t="str">
        <f>"Centrum Kulturalno-Sportowe Gminy Chełm w Rożdżałowie, Rożdżałów 118a, 22-100 Chełm"</f>
        <v>Centrum Kulturalno-Sportowe Gminy Chełm w Rożdżałowie, Rożdżałów 118a, 22-100 Chełm</v>
      </c>
      <c r="H25">
        <v>495</v>
      </c>
      <c r="I25">
        <v>495</v>
      </c>
      <c r="J25">
        <v>0</v>
      </c>
      <c r="K25">
        <v>350</v>
      </c>
      <c r="L25">
        <v>240</v>
      </c>
      <c r="M25">
        <v>110</v>
      </c>
      <c r="N25">
        <v>110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110</v>
      </c>
      <c r="Z25">
        <v>0</v>
      </c>
      <c r="AA25">
        <v>0</v>
      </c>
      <c r="AB25">
        <v>110</v>
      </c>
      <c r="AC25">
        <v>6</v>
      </c>
      <c r="AD25">
        <v>104</v>
      </c>
      <c r="AE25">
        <v>4</v>
      </c>
      <c r="AF25">
        <v>2</v>
      </c>
      <c r="AG25">
        <v>1</v>
      </c>
      <c r="AH25">
        <v>0</v>
      </c>
      <c r="AI25">
        <v>1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4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1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1</v>
      </c>
      <c r="BM25">
        <v>0</v>
      </c>
      <c r="BN25">
        <v>1</v>
      </c>
      <c r="BO25">
        <v>53</v>
      </c>
      <c r="BP25">
        <v>8</v>
      </c>
      <c r="BQ25">
        <v>25</v>
      </c>
      <c r="BR25">
        <v>0</v>
      </c>
      <c r="BS25">
        <v>18</v>
      </c>
      <c r="BT25">
        <v>0</v>
      </c>
      <c r="BU25">
        <v>0</v>
      </c>
      <c r="BV25">
        <v>0</v>
      </c>
      <c r="BW25">
        <v>1</v>
      </c>
      <c r="BX25">
        <v>0</v>
      </c>
      <c r="BY25">
        <v>1</v>
      </c>
      <c r="BZ25">
        <v>53</v>
      </c>
      <c r="CA25">
        <v>2</v>
      </c>
      <c r="CB25">
        <v>2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2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4</v>
      </c>
      <c r="CZ25">
        <v>1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3</v>
      </c>
      <c r="DJ25">
        <v>4</v>
      </c>
      <c r="DK25">
        <v>7</v>
      </c>
      <c r="DL25">
        <v>0</v>
      </c>
      <c r="DM25">
        <v>0</v>
      </c>
      <c r="DN25">
        <v>0</v>
      </c>
      <c r="DO25">
        <v>0</v>
      </c>
      <c r="DP25">
        <v>7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7</v>
      </c>
      <c r="DW25">
        <v>33</v>
      </c>
      <c r="DX25">
        <v>4</v>
      </c>
      <c r="DY25">
        <v>2</v>
      </c>
      <c r="DZ25">
        <v>0</v>
      </c>
      <c r="EA25">
        <v>27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33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</row>
    <row r="26" spans="1:150" ht="12.75">
      <c r="A26">
        <v>21</v>
      </c>
      <c r="B26" t="str">
        <f t="shared" si="2"/>
        <v>060303</v>
      </c>
      <c r="C26" t="str">
        <f t="shared" si="3"/>
        <v>Chełm</v>
      </c>
      <c r="D26" t="str">
        <f t="shared" si="0"/>
        <v>chełmski</v>
      </c>
      <c r="E26" t="str">
        <f t="shared" si="1"/>
        <v>lubelskie</v>
      </c>
      <c r="F26">
        <v>15</v>
      </c>
      <c r="G26" t="str">
        <f>"Świetlica w Depułtyczach Królewskich-Kolonii, Depułtycze Królewskie-Kolonia 18, 22-100 Chełm"</f>
        <v>Świetlica w Depułtyczach Królewskich-Kolonii, Depułtycze Królewskie-Kolonia 18, 22-100 Chełm</v>
      </c>
      <c r="H26">
        <v>416</v>
      </c>
      <c r="I26">
        <v>416</v>
      </c>
      <c r="J26">
        <v>0</v>
      </c>
      <c r="K26">
        <v>290</v>
      </c>
      <c r="L26">
        <v>172</v>
      </c>
      <c r="M26">
        <v>118</v>
      </c>
      <c r="N26">
        <v>118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118</v>
      </c>
      <c r="Z26">
        <v>0</v>
      </c>
      <c r="AA26">
        <v>0</v>
      </c>
      <c r="AB26">
        <v>118</v>
      </c>
      <c r="AC26">
        <v>4</v>
      </c>
      <c r="AD26">
        <v>114</v>
      </c>
      <c r="AE26">
        <v>4</v>
      </c>
      <c r="AF26">
        <v>1</v>
      </c>
      <c r="AG26">
        <v>0</v>
      </c>
      <c r="AH26">
        <v>0</v>
      </c>
      <c r="AI26">
        <v>0</v>
      </c>
      <c r="AJ26">
        <v>0</v>
      </c>
      <c r="AK26">
        <v>1</v>
      </c>
      <c r="AL26">
        <v>0</v>
      </c>
      <c r="AM26">
        <v>0</v>
      </c>
      <c r="AN26">
        <v>1</v>
      </c>
      <c r="AO26">
        <v>1</v>
      </c>
      <c r="AP26">
        <v>4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2</v>
      </c>
      <c r="BD26">
        <v>1</v>
      </c>
      <c r="BE26">
        <v>0</v>
      </c>
      <c r="BF26">
        <v>0</v>
      </c>
      <c r="BG26">
        <v>0</v>
      </c>
      <c r="BH26">
        <v>1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2</v>
      </c>
      <c r="BO26">
        <v>42</v>
      </c>
      <c r="BP26">
        <v>9</v>
      </c>
      <c r="BQ26">
        <v>20</v>
      </c>
      <c r="BR26">
        <v>5</v>
      </c>
      <c r="BS26">
        <v>7</v>
      </c>
      <c r="BT26">
        <v>0</v>
      </c>
      <c r="BU26">
        <v>0</v>
      </c>
      <c r="BV26">
        <v>0</v>
      </c>
      <c r="BW26">
        <v>1</v>
      </c>
      <c r="BX26">
        <v>0</v>
      </c>
      <c r="BY26">
        <v>0</v>
      </c>
      <c r="BZ26">
        <v>42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1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1</v>
      </c>
      <c r="DJ26">
        <v>1</v>
      </c>
      <c r="DK26">
        <v>2</v>
      </c>
      <c r="DL26">
        <v>1</v>
      </c>
      <c r="DM26">
        <v>0</v>
      </c>
      <c r="DN26">
        <v>0</v>
      </c>
      <c r="DO26">
        <v>0</v>
      </c>
      <c r="DP26">
        <v>1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2</v>
      </c>
      <c r="DW26">
        <v>63</v>
      </c>
      <c r="DX26">
        <v>0</v>
      </c>
      <c r="DY26">
        <v>1</v>
      </c>
      <c r="DZ26">
        <v>0</v>
      </c>
      <c r="EA26">
        <v>62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63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</row>
    <row r="27" spans="1:150" ht="12.75">
      <c r="A27">
        <v>22</v>
      </c>
      <c r="B27" t="str">
        <f t="shared" si="2"/>
        <v>060303</v>
      </c>
      <c r="C27" t="str">
        <f t="shared" si="3"/>
        <v>Chełm</v>
      </c>
      <c r="D27" t="str">
        <f t="shared" si="0"/>
        <v>chełmski</v>
      </c>
      <c r="E27" t="str">
        <f t="shared" si="1"/>
        <v>lubelskie</v>
      </c>
      <c r="F27">
        <v>16</v>
      </c>
      <c r="G27" t="str">
        <f>"Remiza Ochotniczej Straży Pożarnej w Starych Depułtyczach, Stare Depułtycze 10b, 22-100 Chełm"</f>
        <v>Remiza Ochotniczej Straży Pożarnej w Starych Depułtyczach, Stare Depułtycze 10b, 22-100 Chełm</v>
      </c>
      <c r="H27">
        <v>358</v>
      </c>
      <c r="I27">
        <v>358</v>
      </c>
      <c r="J27">
        <v>0</v>
      </c>
      <c r="K27">
        <v>250</v>
      </c>
      <c r="L27">
        <v>171</v>
      </c>
      <c r="M27">
        <v>79</v>
      </c>
      <c r="N27">
        <v>79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79</v>
      </c>
      <c r="Z27">
        <v>0</v>
      </c>
      <c r="AA27">
        <v>0</v>
      </c>
      <c r="AB27">
        <v>79</v>
      </c>
      <c r="AC27">
        <v>2</v>
      </c>
      <c r="AD27">
        <v>77</v>
      </c>
      <c r="AE27">
        <v>3</v>
      </c>
      <c r="AF27">
        <v>1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2</v>
      </c>
      <c r="AP27">
        <v>3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29</v>
      </c>
      <c r="BP27">
        <v>4</v>
      </c>
      <c r="BQ27">
        <v>18</v>
      </c>
      <c r="BR27">
        <v>0</v>
      </c>
      <c r="BS27">
        <v>6</v>
      </c>
      <c r="BT27">
        <v>0</v>
      </c>
      <c r="BU27">
        <v>0</v>
      </c>
      <c r="BV27">
        <v>0</v>
      </c>
      <c r="BW27">
        <v>0</v>
      </c>
      <c r="BX27">
        <v>1</v>
      </c>
      <c r="BY27">
        <v>0</v>
      </c>
      <c r="BZ27">
        <v>29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5</v>
      </c>
      <c r="DL27">
        <v>0</v>
      </c>
      <c r="DM27">
        <v>0</v>
      </c>
      <c r="DN27">
        <v>0</v>
      </c>
      <c r="DO27">
        <v>0</v>
      </c>
      <c r="DP27">
        <v>5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5</v>
      </c>
      <c r="DW27">
        <v>40</v>
      </c>
      <c r="DX27">
        <v>2</v>
      </c>
      <c r="DY27">
        <v>1</v>
      </c>
      <c r="DZ27">
        <v>0</v>
      </c>
      <c r="EA27">
        <v>37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40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</row>
    <row r="28" spans="1:150" ht="12.75">
      <c r="A28">
        <v>23</v>
      </c>
      <c r="B28" t="str">
        <f t="shared" si="2"/>
        <v>060303</v>
      </c>
      <c r="C28" t="str">
        <f t="shared" si="3"/>
        <v>Chełm</v>
      </c>
      <c r="D28" t="str">
        <f t="shared" si="0"/>
        <v>chełmski</v>
      </c>
      <c r="E28" t="str">
        <f t="shared" si="1"/>
        <v>lubelskie</v>
      </c>
      <c r="F28">
        <v>17</v>
      </c>
      <c r="G28" t="str">
        <f>"Zespół Szkół w Uhrze, Uher 32, 22-100 Chełm"</f>
        <v>Zespół Szkół w Uhrze, Uher 32, 22-100 Chełm</v>
      </c>
      <c r="H28">
        <v>707</v>
      </c>
      <c r="I28">
        <v>707</v>
      </c>
      <c r="J28">
        <v>0</v>
      </c>
      <c r="K28">
        <v>499</v>
      </c>
      <c r="L28">
        <v>314</v>
      </c>
      <c r="M28">
        <v>185</v>
      </c>
      <c r="N28">
        <v>185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185</v>
      </c>
      <c r="Z28">
        <v>0</v>
      </c>
      <c r="AA28">
        <v>0</v>
      </c>
      <c r="AB28">
        <v>185</v>
      </c>
      <c r="AC28">
        <v>6</v>
      </c>
      <c r="AD28">
        <v>179</v>
      </c>
      <c r="AE28">
        <v>1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1</v>
      </c>
      <c r="AM28">
        <v>0</v>
      </c>
      <c r="AN28">
        <v>0</v>
      </c>
      <c r="AO28">
        <v>0</v>
      </c>
      <c r="AP28">
        <v>1</v>
      </c>
      <c r="AQ28">
        <v>5</v>
      </c>
      <c r="AR28">
        <v>2</v>
      </c>
      <c r="AS28">
        <v>1</v>
      </c>
      <c r="AT28">
        <v>1</v>
      </c>
      <c r="AU28">
        <v>0</v>
      </c>
      <c r="AV28">
        <v>0</v>
      </c>
      <c r="AW28">
        <v>0</v>
      </c>
      <c r="AX28">
        <v>0</v>
      </c>
      <c r="AY28">
        <v>1</v>
      </c>
      <c r="AZ28">
        <v>0</v>
      </c>
      <c r="BA28">
        <v>0</v>
      </c>
      <c r="BB28">
        <v>5</v>
      </c>
      <c r="BC28">
        <v>1</v>
      </c>
      <c r="BD28">
        <v>1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1</v>
      </c>
      <c r="BO28">
        <v>72</v>
      </c>
      <c r="BP28">
        <v>1</v>
      </c>
      <c r="BQ28">
        <v>31</v>
      </c>
      <c r="BR28">
        <v>6</v>
      </c>
      <c r="BS28">
        <v>28</v>
      </c>
      <c r="BT28">
        <v>1</v>
      </c>
      <c r="BU28">
        <v>0</v>
      </c>
      <c r="BV28">
        <v>2</v>
      </c>
      <c r="BW28">
        <v>2</v>
      </c>
      <c r="BX28">
        <v>0</v>
      </c>
      <c r="BY28">
        <v>1</v>
      </c>
      <c r="BZ28">
        <v>72</v>
      </c>
      <c r="CA28">
        <v>3</v>
      </c>
      <c r="CB28">
        <v>3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3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1</v>
      </c>
      <c r="CZ28">
        <v>0</v>
      </c>
      <c r="DA28">
        <v>1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1</v>
      </c>
      <c r="DK28">
        <v>15</v>
      </c>
      <c r="DL28">
        <v>1</v>
      </c>
      <c r="DM28">
        <v>0</v>
      </c>
      <c r="DN28">
        <v>0</v>
      </c>
      <c r="DO28">
        <v>0</v>
      </c>
      <c r="DP28">
        <v>14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15</v>
      </c>
      <c r="DW28">
        <v>81</v>
      </c>
      <c r="DX28">
        <v>2</v>
      </c>
      <c r="DY28">
        <v>5</v>
      </c>
      <c r="DZ28">
        <v>1</v>
      </c>
      <c r="EA28">
        <v>73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81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</row>
    <row r="29" spans="1:150" ht="12.75">
      <c r="A29">
        <v>24</v>
      </c>
      <c r="B29" t="str">
        <f t="shared" si="2"/>
        <v>060303</v>
      </c>
      <c r="C29" t="str">
        <f t="shared" si="3"/>
        <v>Chełm</v>
      </c>
      <c r="D29" t="str">
        <f t="shared" si="0"/>
        <v>chełmski</v>
      </c>
      <c r="E29" t="str">
        <f t="shared" si="1"/>
        <v>lubelskie</v>
      </c>
      <c r="F29">
        <v>18</v>
      </c>
      <c r="G29" t="str">
        <f>"Świetlica w Zawadówce, Zawadówka 25c, 22-100 Chełm"</f>
        <v>Świetlica w Zawadówce, Zawadówka 25c, 22-100 Chełm</v>
      </c>
      <c r="H29">
        <v>684</v>
      </c>
      <c r="I29">
        <v>684</v>
      </c>
      <c r="J29">
        <v>0</v>
      </c>
      <c r="K29">
        <v>479</v>
      </c>
      <c r="L29">
        <v>309</v>
      </c>
      <c r="M29">
        <v>170</v>
      </c>
      <c r="N29">
        <v>170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170</v>
      </c>
      <c r="Z29">
        <v>0</v>
      </c>
      <c r="AA29">
        <v>0</v>
      </c>
      <c r="AB29">
        <v>170</v>
      </c>
      <c r="AC29">
        <v>8</v>
      </c>
      <c r="AD29">
        <v>162</v>
      </c>
      <c r="AE29">
        <v>4</v>
      </c>
      <c r="AF29">
        <v>2</v>
      </c>
      <c r="AG29">
        <v>1</v>
      </c>
      <c r="AH29">
        <v>0</v>
      </c>
      <c r="AI29">
        <v>0</v>
      </c>
      <c r="AJ29">
        <v>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4</v>
      </c>
      <c r="AQ29">
        <v>2</v>
      </c>
      <c r="AR29">
        <v>2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2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51</v>
      </c>
      <c r="BP29">
        <v>12</v>
      </c>
      <c r="BQ29">
        <v>15</v>
      </c>
      <c r="BR29">
        <v>1</v>
      </c>
      <c r="BS29">
        <v>20</v>
      </c>
      <c r="BT29">
        <v>0</v>
      </c>
      <c r="BU29">
        <v>0</v>
      </c>
      <c r="BV29">
        <v>2</v>
      </c>
      <c r="BW29">
        <v>0</v>
      </c>
      <c r="BX29">
        <v>0</v>
      </c>
      <c r="BY29">
        <v>1</v>
      </c>
      <c r="BZ29">
        <v>51</v>
      </c>
      <c r="CA29">
        <v>3</v>
      </c>
      <c r="CB29">
        <v>3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3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8</v>
      </c>
      <c r="CZ29">
        <v>4</v>
      </c>
      <c r="DA29">
        <v>0</v>
      </c>
      <c r="DB29">
        <v>0</v>
      </c>
      <c r="DC29">
        <v>0</v>
      </c>
      <c r="DD29">
        <v>1</v>
      </c>
      <c r="DE29">
        <v>0</v>
      </c>
      <c r="DF29">
        <v>0</v>
      </c>
      <c r="DG29">
        <v>1</v>
      </c>
      <c r="DH29">
        <v>0</v>
      </c>
      <c r="DI29">
        <v>2</v>
      </c>
      <c r="DJ29">
        <v>8</v>
      </c>
      <c r="DK29">
        <v>24</v>
      </c>
      <c r="DL29">
        <v>2</v>
      </c>
      <c r="DM29">
        <v>0</v>
      </c>
      <c r="DN29">
        <v>1</v>
      </c>
      <c r="DO29">
        <v>0</v>
      </c>
      <c r="DP29">
        <v>21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24</v>
      </c>
      <c r="DW29">
        <v>70</v>
      </c>
      <c r="DX29">
        <v>1</v>
      </c>
      <c r="DY29">
        <v>1</v>
      </c>
      <c r="DZ29">
        <v>0</v>
      </c>
      <c r="EA29">
        <v>68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70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</row>
    <row r="30" spans="1:150" ht="12.75">
      <c r="A30">
        <v>25</v>
      </c>
      <c r="B30" t="str">
        <f aca="true" t="shared" si="4" ref="B30:B36">"060304"</f>
        <v>060304</v>
      </c>
      <c r="C30" t="str">
        <f aca="true" t="shared" si="5" ref="C30:C36">"Dorohusk"</f>
        <v>Dorohusk</v>
      </c>
      <c r="D30" t="str">
        <f t="shared" si="0"/>
        <v>chełmski</v>
      </c>
      <c r="E30" t="str">
        <f t="shared" si="1"/>
        <v>lubelskie</v>
      </c>
      <c r="F30">
        <v>1</v>
      </c>
      <c r="G30" t="str">
        <f>"Wiejski Ośrodek Kultury w Brzeźnie, Brzeźno 3, 22-174 Brzeźno"</f>
        <v>Wiejski Ośrodek Kultury w Brzeźnie, Brzeźno 3, 22-174 Brzeźno</v>
      </c>
      <c r="H30">
        <v>921</v>
      </c>
      <c r="I30">
        <v>921</v>
      </c>
      <c r="J30">
        <v>0</v>
      </c>
      <c r="K30">
        <v>650</v>
      </c>
      <c r="L30">
        <v>471</v>
      </c>
      <c r="M30">
        <v>179</v>
      </c>
      <c r="N30">
        <v>179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179</v>
      </c>
      <c r="Z30">
        <v>0</v>
      </c>
      <c r="AA30">
        <v>0</v>
      </c>
      <c r="AB30">
        <v>179</v>
      </c>
      <c r="AC30">
        <v>8</v>
      </c>
      <c r="AD30">
        <v>171</v>
      </c>
      <c r="AE30">
        <v>8</v>
      </c>
      <c r="AF30">
        <v>4</v>
      </c>
      <c r="AG30">
        <v>0</v>
      </c>
      <c r="AH30">
        <v>0</v>
      </c>
      <c r="AI30">
        <v>1</v>
      </c>
      <c r="AJ30">
        <v>0</v>
      </c>
      <c r="AK30">
        <v>1</v>
      </c>
      <c r="AL30">
        <v>1</v>
      </c>
      <c r="AM30">
        <v>0</v>
      </c>
      <c r="AN30">
        <v>0</v>
      </c>
      <c r="AO30">
        <v>1</v>
      </c>
      <c r="AP30">
        <v>8</v>
      </c>
      <c r="AQ30">
        <v>2</v>
      </c>
      <c r="AR30">
        <v>1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1</v>
      </c>
      <c r="AY30">
        <v>0</v>
      </c>
      <c r="AZ30">
        <v>0</v>
      </c>
      <c r="BA30">
        <v>0</v>
      </c>
      <c r="BB30">
        <v>2</v>
      </c>
      <c r="BC30">
        <v>3</v>
      </c>
      <c r="BD30">
        <v>2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1</v>
      </c>
      <c r="BN30">
        <v>3</v>
      </c>
      <c r="BO30">
        <v>54</v>
      </c>
      <c r="BP30">
        <v>9</v>
      </c>
      <c r="BQ30">
        <v>29</v>
      </c>
      <c r="BR30">
        <v>2</v>
      </c>
      <c r="BS30">
        <v>13</v>
      </c>
      <c r="BT30">
        <v>0</v>
      </c>
      <c r="BU30">
        <v>1</v>
      </c>
      <c r="BV30">
        <v>0</v>
      </c>
      <c r="BW30">
        <v>0</v>
      </c>
      <c r="BX30">
        <v>0</v>
      </c>
      <c r="BY30">
        <v>0</v>
      </c>
      <c r="BZ30">
        <v>54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1</v>
      </c>
      <c r="CN30">
        <v>1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1</v>
      </c>
      <c r="CY30">
        <v>6</v>
      </c>
      <c r="CZ30">
        <v>5</v>
      </c>
      <c r="DA30">
        <v>0</v>
      </c>
      <c r="DB30">
        <v>1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6</v>
      </c>
      <c r="DK30">
        <v>22</v>
      </c>
      <c r="DL30">
        <v>7</v>
      </c>
      <c r="DM30">
        <v>0</v>
      </c>
      <c r="DN30">
        <v>0</v>
      </c>
      <c r="DO30">
        <v>0</v>
      </c>
      <c r="DP30">
        <v>13</v>
      </c>
      <c r="DQ30">
        <v>1</v>
      </c>
      <c r="DR30">
        <v>1</v>
      </c>
      <c r="DS30">
        <v>0</v>
      </c>
      <c r="DT30">
        <v>0</v>
      </c>
      <c r="DU30">
        <v>0</v>
      </c>
      <c r="DV30">
        <v>22</v>
      </c>
      <c r="DW30">
        <v>75</v>
      </c>
      <c r="DX30">
        <v>3</v>
      </c>
      <c r="DY30">
        <v>2</v>
      </c>
      <c r="DZ30">
        <v>0</v>
      </c>
      <c r="EA30">
        <v>70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75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</row>
    <row r="31" spans="1:150" ht="12.75">
      <c r="A31">
        <v>26</v>
      </c>
      <c r="B31" t="str">
        <f t="shared" si="4"/>
        <v>060304</v>
      </c>
      <c r="C31" t="str">
        <f t="shared" si="5"/>
        <v>Dorohusk</v>
      </c>
      <c r="D31" t="str">
        <f t="shared" si="0"/>
        <v>chełmski</v>
      </c>
      <c r="E31" t="str">
        <f t="shared" si="1"/>
        <v>lubelskie</v>
      </c>
      <c r="F31">
        <v>2</v>
      </c>
      <c r="G31" t="str">
        <f>"Wiejski Ośrodek Kultury w Wólce Okopskiej, Wólka Okopska 67, 22-174 Brzeźno"</f>
        <v>Wiejski Ośrodek Kultury w Wólce Okopskiej, Wólka Okopska 67, 22-174 Brzeźno</v>
      </c>
      <c r="H31">
        <v>649</v>
      </c>
      <c r="I31">
        <v>649</v>
      </c>
      <c r="J31">
        <v>0</v>
      </c>
      <c r="K31">
        <v>435</v>
      </c>
      <c r="L31">
        <v>305</v>
      </c>
      <c r="M31">
        <v>130</v>
      </c>
      <c r="N31">
        <v>130</v>
      </c>
      <c r="O31">
        <v>0</v>
      </c>
      <c r="P31">
        <v>0</v>
      </c>
      <c r="Q31">
        <v>2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130</v>
      </c>
      <c r="Z31">
        <v>0</v>
      </c>
      <c r="AA31">
        <v>0</v>
      </c>
      <c r="AB31">
        <v>130</v>
      </c>
      <c r="AC31">
        <v>7</v>
      </c>
      <c r="AD31">
        <v>123</v>
      </c>
      <c r="AE31">
        <v>1</v>
      </c>
      <c r="AF31">
        <v>1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1</v>
      </c>
      <c r="AQ31">
        <v>2</v>
      </c>
      <c r="AR31">
        <v>1</v>
      </c>
      <c r="AS31">
        <v>0</v>
      </c>
      <c r="AT31">
        <v>1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2</v>
      </c>
      <c r="BC31">
        <v>2</v>
      </c>
      <c r="BD31">
        <v>1</v>
      </c>
      <c r="BE31">
        <v>0</v>
      </c>
      <c r="BF31">
        <v>0</v>
      </c>
      <c r="BG31">
        <v>0</v>
      </c>
      <c r="BH31">
        <v>1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2</v>
      </c>
      <c r="BO31">
        <v>33</v>
      </c>
      <c r="BP31">
        <v>6</v>
      </c>
      <c r="BQ31">
        <v>7</v>
      </c>
      <c r="BR31">
        <v>3</v>
      </c>
      <c r="BS31">
        <v>14</v>
      </c>
      <c r="BT31">
        <v>0</v>
      </c>
      <c r="BU31">
        <v>2</v>
      </c>
      <c r="BV31">
        <v>0</v>
      </c>
      <c r="BW31">
        <v>0</v>
      </c>
      <c r="BX31">
        <v>0</v>
      </c>
      <c r="BY31">
        <v>1</v>
      </c>
      <c r="BZ31">
        <v>33</v>
      </c>
      <c r="CA31">
        <v>8</v>
      </c>
      <c r="CB31">
        <v>6</v>
      </c>
      <c r="CC31">
        <v>1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1</v>
      </c>
      <c r="CL31">
        <v>8</v>
      </c>
      <c r="CM31">
        <v>2</v>
      </c>
      <c r="CN31">
        <v>1</v>
      </c>
      <c r="CO31">
        <v>0</v>
      </c>
      <c r="CP31">
        <v>0</v>
      </c>
      <c r="CQ31">
        <v>1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2</v>
      </c>
      <c r="CY31">
        <v>5</v>
      </c>
      <c r="CZ31">
        <v>1</v>
      </c>
      <c r="DA31">
        <v>0</v>
      </c>
      <c r="DB31">
        <v>0</v>
      </c>
      <c r="DC31">
        <v>0</v>
      </c>
      <c r="DD31">
        <v>0</v>
      </c>
      <c r="DE31">
        <v>1</v>
      </c>
      <c r="DF31">
        <v>1</v>
      </c>
      <c r="DG31">
        <v>0</v>
      </c>
      <c r="DH31">
        <v>0</v>
      </c>
      <c r="DI31">
        <v>2</v>
      </c>
      <c r="DJ31">
        <v>5</v>
      </c>
      <c r="DK31">
        <v>28</v>
      </c>
      <c r="DL31">
        <v>4</v>
      </c>
      <c r="DM31">
        <v>1</v>
      </c>
      <c r="DN31">
        <v>0</v>
      </c>
      <c r="DO31">
        <v>1</v>
      </c>
      <c r="DP31">
        <v>22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28</v>
      </c>
      <c r="DW31">
        <v>42</v>
      </c>
      <c r="DX31">
        <v>4</v>
      </c>
      <c r="DY31">
        <v>0</v>
      </c>
      <c r="DZ31">
        <v>1</v>
      </c>
      <c r="EA31">
        <v>36</v>
      </c>
      <c r="EB31">
        <v>1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42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</row>
    <row r="32" spans="1:150" ht="12.75">
      <c r="A32">
        <v>27</v>
      </c>
      <c r="B32" t="str">
        <f t="shared" si="4"/>
        <v>060304</v>
      </c>
      <c r="C32" t="str">
        <f t="shared" si="5"/>
        <v>Dorohusk</v>
      </c>
      <c r="D32" t="str">
        <f t="shared" si="0"/>
        <v>chełmski</v>
      </c>
      <c r="E32" t="str">
        <f t="shared" si="1"/>
        <v>lubelskie</v>
      </c>
      <c r="F32">
        <v>3</v>
      </c>
      <c r="G32" t="str">
        <f>"Szkoła Podstawowa w Świerżach, ul.Jana Pawła II 59, Świerże, 22-175 Dorohusk"</f>
        <v>Szkoła Podstawowa w Świerżach, ul.Jana Pawła II 59, Świerże, 22-175 Dorohusk</v>
      </c>
      <c r="H32">
        <v>635</v>
      </c>
      <c r="I32">
        <v>635</v>
      </c>
      <c r="J32">
        <v>0</v>
      </c>
      <c r="K32">
        <v>440</v>
      </c>
      <c r="L32">
        <v>321</v>
      </c>
      <c r="M32">
        <v>119</v>
      </c>
      <c r="N32">
        <v>119</v>
      </c>
      <c r="O32">
        <v>0</v>
      </c>
      <c r="P32">
        <v>0</v>
      </c>
      <c r="Q32">
        <v>4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119</v>
      </c>
      <c r="Z32">
        <v>0</v>
      </c>
      <c r="AA32">
        <v>0</v>
      </c>
      <c r="AB32">
        <v>119</v>
      </c>
      <c r="AC32">
        <v>6</v>
      </c>
      <c r="AD32">
        <v>113</v>
      </c>
      <c r="AE32">
        <v>2</v>
      </c>
      <c r="AF32">
        <v>1</v>
      </c>
      <c r="AG32">
        <v>0</v>
      </c>
      <c r="AH32">
        <v>1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2</v>
      </c>
      <c r="AQ32">
        <v>3</v>
      </c>
      <c r="AR32">
        <v>0</v>
      </c>
      <c r="AS32">
        <v>0</v>
      </c>
      <c r="AT32">
        <v>2</v>
      </c>
      <c r="AU32">
        <v>0</v>
      </c>
      <c r="AV32">
        <v>0</v>
      </c>
      <c r="AW32">
        <v>1</v>
      </c>
      <c r="AX32">
        <v>0</v>
      </c>
      <c r="AY32">
        <v>0</v>
      </c>
      <c r="AZ32">
        <v>0</v>
      </c>
      <c r="BA32">
        <v>0</v>
      </c>
      <c r="BB32">
        <v>3</v>
      </c>
      <c r="BC32">
        <v>1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</v>
      </c>
      <c r="BK32">
        <v>0</v>
      </c>
      <c r="BL32">
        <v>0</v>
      </c>
      <c r="BM32">
        <v>0</v>
      </c>
      <c r="BN32">
        <v>1</v>
      </c>
      <c r="BO32">
        <v>34</v>
      </c>
      <c r="BP32">
        <v>3</v>
      </c>
      <c r="BQ32">
        <v>18</v>
      </c>
      <c r="BR32">
        <v>1</v>
      </c>
      <c r="BS32">
        <v>9</v>
      </c>
      <c r="BT32">
        <v>0</v>
      </c>
      <c r="BU32">
        <v>0</v>
      </c>
      <c r="BV32">
        <v>0</v>
      </c>
      <c r="BW32">
        <v>1</v>
      </c>
      <c r="BX32">
        <v>0</v>
      </c>
      <c r="BY32">
        <v>2</v>
      </c>
      <c r="BZ32">
        <v>34</v>
      </c>
      <c r="CA32">
        <v>8</v>
      </c>
      <c r="CB32">
        <v>3</v>
      </c>
      <c r="CC32">
        <v>4</v>
      </c>
      <c r="CD32">
        <v>0</v>
      </c>
      <c r="CE32">
        <v>0</v>
      </c>
      <c r="CF32">
        <v>1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8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5</v>
      </c>
      <c r="CZ32">
        <v>4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1</v>
      </c>
      <c r="DH32">
        <v>0</v>
      </c>
      <c r="DI32">
        <v>0</v>
      </c>
      <c r="DJ32">
        <v>5</v>
      </c>
      <c r="DK32">
        <v>21</v>
      </c>
      <c r="DL32">
        <v>4</v>
      </c>
      <c r="DM32">
        <v>0</v>
      </c>
      <c r="DN32">
        <v>0</v>
      </c>
      <c r="DO32">
        <v>0</v>
      </c>
      <c r="DP32">
        <v>17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21</v>
      </c>
      <c r="DW32">
        <v>38</v>
      </c>
      <c r="DX32">
        <v>1</v>
      </c>
      <c r="DY32">
        <v>0</v>
      </c>
      <c r="DZ32">
        <v>0</v>
      </c>
      <c r="EA32">
        <v>37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38</v>
      </c>
      <c r="EI32">
        <v>1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1</v>
      </c>
      <c r="ET32">
        <v>1</v>
      </c>
    </row>
    <row r="33" spans="1:150" ht="12.75">
      <c r="A33">
        <v>28</v>
      </c>
      <c r="B33" t="str">
        <f t="shared" si="4"/>
        <v>060304</v>
      </c>
      <c r="C33" t="str">
        <f t="shared" si="5"/>
        <v>Dorohusk</v>
      </c>
      <c r="D33" t="str">
        <f t="shared" si="0"/>
        <v>chełmski</v>
      </c>
      <c r="E33" t="str">
        <f t="shared" si="1"/>
        <v>lubelskie</v>
      </c>
      <c r="F33">
        <v>4</v>
      </c>
      <c r="G33" t="s">
        <v>37</v>
      </c>
      <c r="H33">
        <v>774</v>
      </c>
      <c r="I33">
        <v>774</v>
      </c>
      <c r="J33">
        <v>0</v>
      </c>
      <c r="K33">
        <v>550</v>
      </c>
      <c r="L33">
        <v>433</v>
      </c>
      <c r="M33">
        <v>117</v>
      </c>
      <c r="N33">
        <v>117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117</v>
      </c>
      <c r="Z33">
        <v>0</v>
      </c>
      <c r="AA33">
        <v>0</v>
      </c>
      <c r="AB33">
        <v>117</v>
      </c>
      <c r="AC33">
        <v>4</v>
      </c>
      <c r="AD33">
        <v>113</v>
      </c>
      <c r="AE33">
        <v>5</v>
      </c>
      <c r="AF33">
        <v>2</v>
      </c>
      <c r="AG33">
        <v>0</v>
      </c>
      <c r="AH33">
        <v>0</v>
      </c>
      <c r="AI33">
        <v>1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2</v>
      </c>
      <c r="AP33">
        <v>5</v>
      </c>
      <c r="AQ33">
        <v>9</v>
      </c>
      <c r="AR33">
        <v>7</v>
      </c>
      <c r="AS33">
        <v>1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1</v>
      </c>
      <c r="AZ33">
        <v>0</v>
      </c>
      <c r="BA33">
        <v>0</v>
      </c>
      <c r="BB33">
        <v>9</v>
      </c>
      <c r="BC33">
        <v>6</v>
      </c>
      <c r="BD33">
        <v>6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6</v>
      </c>
      <c r="BO33">
        <v>37</v>
      </c>
      <c r="BP33">
        <v>4</v>
      </c>
      <c r="BQ33">
        <v>20</v>
      </c>
      <c r="BR33">
        <v>4</v>
      </c>
      <c r="BS33">
        <v>7</v>
      </c>
      <c r="BT33">
        <v>0</v>
      </c>
      <c r="BU33">
        <v>1</v>
      </c>
      <c r="BV33">
        <v>0</v>
      </c>
      <c r="BW33">
        <v>1</v>
      </c>
      <c r="BX33">
        <v>0</v>
      </c>
      <c r="BY33">
        <v>0</v>
      </c>
      <c r="BZ33">
        <v>37</v>
      </c>
      <c r="CA33">
        <v>5</v>
      </c>
      <c r="CB33">
        <v>2</v>
      </c>
      <c r="CC33">
        <v>1</v>
      </c>
      <c r="CD33">
        <v>0</v>
      </c>
      <c r="CE33">
        <v>0</v>
      </c>
      <c r="CF33">
        <v>1</v>
      </c>
      <c r="CG33">
        <v>0</v>
      </c>
      <c r="CH33">
        <v>0</v>
      </c>
      <c r="CI33">
        <v>0</v>
      </c>
      <c r="CJ33">
        <v>0</v>
      </c>
      <c r="CK33">
        <v>1</v>
      </c>
      <c r="CL33">
        <v>5</v>
      </c>
      <c r="CM33">
        <v>3</v>
      </c>
      <c r="CN33">
        <v>1</v>
      </c>
      <c r="CO33">
        <v>0</v>
      </c>
      <c r="CP33">
        <v>2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3</v>
      </c>
      <c r="CY33">
        <v>9</v>
      </c>
      <c r="CZ33">
        <v>6</v>
      </c>
      <c r="DA33">
        <v>0</v>
      </c>
      <c r="DB33">
        <v>0</v>
      </c>
      <c r="DC33">
        <v>1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2</v>
      </c>
      <c r="DJ33">
        <v>9</v>
      </c>
      <c r="DK33">
        <v>13</v>
      </c>
      <c r="DL33">
        <v>1</v>
      </c>
      <c r="DM33">
        <v>0</v>
      </c>
      <c r="DN33">
        <v>0</v>
      </c>
      <c r="DO33">
        <v>0</v>
      </c>
      <c r="DP33">
        <v>12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13</v>
      </c>
      <c r="DW33">
        <v>24</v>
      </c>
      <c r="DX33">
        <v>0</v>
      </c>
      <c r="DY33">
        <v>0</v>
      </c>
      <c r="DZ33">
        <v>0</v>
      </c>
      <c r="EA33">
        <v>22</v>
      </c>
      <c r="EB33">
        <v>0</v>
      </c>
      <c r="EC33">
        <v>0</v>
      </c>
      <c r="ED33">
        <v>1</v>
      </c>
      <c r="EE33">
        <v>1</v>
      </c>
      <c r="EF33">
        <v>0</v>
      </c>
      <c r="EG33">
        <v>0</v>
      </c>
      <c r="EH33">
        <v>24</v>
      </c>
      <c r="EI33">
        <v>2</v>
      </c>
      <c r="EJ33">
        <v>0</v>
      </c>
      <c r="EK33">
        <v>0</v>
      </c>
      <c r="EL33">
        <v>0</v>
      </c>
      <c r="EM33">
        <v>1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1</v>
      </c>
      <c r="ET33">
        <v>2</v>
      </c>
    </row>
    <row r="34" spans="1:150" ht="12.75">
      <c r="A34">
        <v>29</v>
      </c>
      <c r="B34" t="str">
        <f t="shared" si="4"/>
        <v>060304</v>
      </c>
      <c r="C34" t="str">
        <f t="shared" si="5"/>
        <v>Dorohusk</v>
      </c>
      <c r="D34" t="str">
        <f t="shared" si="0"/>
        <v>chełmski</v>
      </c>
      <c r="E34" t="str">
        <f t="shared" si="1"/>
        <v>lubelskie</v>
      </c>
      <c r="F34">
        <v>5</v>
      </c>
      <c r="G34" t="str">
        <f>"Zespół Szkół Ogólnokształcących w Dorohusku, I Armii Wojska Polskiego 49, Dorohusk-Osada, 22-175 Dorohusk"</f>
        <v>Zespół Szkół Ogólnokształcących w Dorohusku, I Armii Wojska Polskiego 49, Dorohusk-Osada, 22-175 Dorohusk</v>
      </c>
      <c r="H34">
        <v>1205</v>
      </c>
      <c r="I34">
        <v>1205</v>
      </c>
      <c r="J34">
        <v>0</v>
      </c>
      <c r="K34">
        <v>850</v>
      </c>
      <c r="L34">
        <v>578</v>
      </c>
      <c r="M34">
        <v>272</v>
      </c>
      <c r="N34">
        <v>272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272</v>
      </c>
      <c r="Z34">
        <v>0</v>
      </c>
      <c r="AA34">
        <v>0</v>
      </c>
      <c r="AB34">
        <v>272</v>
      </c>
      <c r="AC34">
        <v>10</v>
      </c>
      <c r="AD34">
        <v>262</v>
      </c>
      <c r="AE34">
        <v>3</v>
      </c>
      <c r="AF34">
        <v>2</v>
      </c>
      <c r="AG34">
        <v>0</v>
      </c>
      <c r="AH34">
        <v>0</v>
      </c>
      <c r="AI34">
        <v>1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3</v>
      </c>
      <c r="AQ34">
        <v>8</v>
      </c>
      <c r="AR34">
        <v>7</v>
      </c>
      <c r="AS34">
        <v>1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8</v>
      </c>
      <c r="BC34">
        <v>7</v>
      </c>
      <c r="BD34">
        <v>3</v>
      </c>
      <c r="BE34">
        <v>0</v>
      </c>
      <c r="BF34">
        <v>1</v>
      </c>
      <c r="BG34">
        <v>0</v>
      </c>
      <c r="BH34">
        <v>1</v>
      </c>
      <c r="BI34">
        <v>0</v>
      </c>
      <c r="BJ34">
        <v>1</v>
      </c>
      <c r="BK34">
        <v>0</v>
      </c>
      <c r="BL34">
        <v>0</v>
      </c>
      <c r="BM34">
        <v>1</v>
      </c>
      <c r="BN34">
        <v>7</v>
      </c>
      <c r="BO34">
        <v>66</v>
      </c>
      <c r="BP34">
        <v>14</v>
      </c>
      <c r="BQ34">
        <v>22</v>
      </c>
      <c r="BR34">
        <v>4</v>
      </c>
      <c r="BS34">
        <v>22</v>
      </c>
      <c r="BT34">
        <v>0</v>
      </c>
      <c r="BU34">
        <v>0</v>
      </c>
      <c r="BV34">
        <v>0</v>
      </c>
      <c r="BW34">
        <v>2</v>
      </c>
      <c r="BX34">
        <v>0</v>
      </c>
      <c r="BY34">
        <v>2</v>
      </c>
      <c r="BZ34">
        <v>66</v>
      </c>
      <c r="CA34">
        <v>3</v>
      </c>
      <c r="CB34">
        <v>0</v>
      </c>
      <c r="CC34">
        <v>1</v>
      </c>
      <c r="CD34">
        <v>0</v>
      </c>
      <c r="CE34">
        <v>1</v>
      </c>
      <c r="CF34">
        <v>1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3</v>
      </c>
      <c r="CM34">
        <v>3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3</v>
      </c>
      <c r="CX34">
        <v>3</v>
      </c>
      <c r="CY34">
        <v>8</v>
      </c>
      <c r="CZ34">
        <v>6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2</v>
      </c>
      <c r="DJ34">
        <v>8</v>
      </c>
      <c r="DK34">
        <v>61</v>
      </c>
      <c r="DL34">
        <v>10</v>
      </c>
      <c r="DM34">
        <v>1</v>
      </c>
      <c r="DN34">
        <v>0</v>
      </c>
      <c r="DO34">
        <v>0</v>
      </c>
      <c r="DP34">
        <v>50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61</v>
      </c>
      <c r="DW34">
        <v>102</v>
      </c>
      <c r="DX34">
        <v>7</v>
      </c>
      <c r="DY34">
        <v>2</v>
      </c>
      <c r="DZ34">
        <v>1</v>
      </c>
      <c r="EA34">
        <v>92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102</v>
      </c>
      <c r="EI34">
        <v>1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1</v>
      </c>
      <c r="ER34">
        <v>0</v>
      </c>
      <c r="ES34">
        <v>0</v>
      </c>
      <c r="ET34">
        <v>1</v>
      </c>
    </row>
    <row r="35" spans="1:150" ht="12.75">
      <c r="A35">
        <v>30</v>
      </c>
      <c r="B35" t="str">
        <f t="shared" si="4"/>
        <v>060304</v>
      </c>
      <c r="C35" t="str">
        <f t="shared" si="5"/>
        <v>Dorohusk</v>
      </c>
      <c r="D35" t="str">
        <f t="shared" si="0"/>
        <v>chełmski</v>
      </c>
      <c r="E35" t="str">
        <f t="shared" si="1"/>
        <v>lubelskie</v>
      </c>
      <c r="F35">
        <v>6</v>
      </c>
      <c r="G35" t="str">
        <f>"Świetlica KGW w Turce, Turka 2, 22-175 Dorohusk"</f>
        <v>Świetlica KGW w Turce, Turka 2, 22-175 Dorohusk</v>
      </c>
      <c r="H35">
        <v>658</v>
      </c>
      <c r="I35">
        <v>658</v>
      </c>
      <c r="J35">
        <v>0</v>
      </c>
      <c r="K35">
        <v>460</v>
      </c>
      <c r="L35">
        <v>350</v>
      </c>
      <c r="M35">
        <v>110</v>
      </c>
      <c r="N35">
        <v>110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110</v>
      </c>
      <c r="Z35">
        <v>0</v>
      </c>
      <c r="AA35">
        <v>0</v>
      </c>
      <c r="AB35">
        <v>110</v>
      </c>
      <c r="AC35">
        <v>1</v>
      </c>
      <c r="AD35">
        <v>109</v>
      </c>
      <c r="AE35">
        <v>3</v>
      </c>
      <c r="AF35">
        <v>2</v>
      </c>
      <c r="AG35">
        <v>0</v>
      </c>
      <c r="AH35">
        <v>0</v>
      </c>
      <c r="AI35">
        <v>1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3</v>
      </c>
      <c r="AQ35">
        <v>1</v>
      </c>
      <c r="AR35">
        <v>1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1</v>
      </c>
      <c r="BC35">
        <v>5</v>
      </c>
      <c r="BD35">
        <v>1</v>
      </c>
      <c r="BE35">
        <v>1</v>
      </c>
      <c r="BF35">
        <v>2</v>
      </c>
      <c r="BG35">
        <v>0</v>
      </c>
      <c r="BH35">
        <v>1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5</v>
      </c>
      <c r="BO35">
        <v>60</v>
      </c>
      <c r="BP35">
        <v>5</v>
      </c>
      <c r="BQ35">
        <v>25</v>
      </c>
      <c r="BR35">
        <v>3</v>
      </c>
      <c r="BS35">
        <v>23</v>
      </c>
      <c r="BT35">
        <v>1</v>
      </c>
      <c r="BU35">
        <v>0</v>
      </c>
      <c r="BV35">
        <v>0</v>
      </c>
      <c r="BW35">
        <v>2</v>
      </c>
      <c r="BX35">
        <v>0</v>
      </c>
      <c r="BY35">
        <v>1</v>
      </c>
      <c r="BZ35">
        <v>60</v>
      </c>
      <c r="CA35">
        <v>1</v>
      </c>
      <c r="CB35">
        <v>1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1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3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3</v>
      </c>
      <c r="DJ35">
        <v>3</v>
      </c>
      <c r="DK35">
        <v>9</v>
      </c>
      <c r="DL35">
        <v>0</v>
      </c>
      <c r="DM35">
        <v>0</v>
      </c>
      <c r="DN35">
        <v>0</v>
      </c>
      <c r="DO35">
        <v>1</v>
      </c>
      <c r="DP35">
        <v>8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9</v>
      </c>
      <c r="DW35">
        <v>27</v>
      </c>
      <c r="DX35">
        <v>0</v>
      </c>
      <c r="DY35">
        <v>0</v>
      </c>
      <c r="DZ35">
        <v>0</v>
      </c>
      <c r="EA35">
        <v>27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27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</row>
    <row r="36" spans="1:150" ht="12.75">
      <c r="A36">
        <v>31</v>
      </c>
      <c r="B36" t="str">
        <f t="shared" si="4"/>
        <v>060304</v>
      </c>
      <c r="C36" t="str">
        <f t="shared" si="5"/>
        <v>Dorohusk</v>
      </c>
      <c r="D36" t="str">
        <f t="shared" si="0"/>
        <v>chełmski</v>
      </c>
      <c r="E36" t="str">
        <f t="shared" si="1"/>
        <v>lubelskie</v>
      </c>
      <c r="F36">
        <v>7</v>
      </c>
      <c r="G36" t="str">
        <f>"Świetlica Wiejska, Michałówka 78, 22-175 Dorohusk"</f>
        <v>Świetlica Wiejska, Michałówka 78, 22-175 Dorohusk</v>
      </c>
      <c r="H36">
        <v>668</v>
      </c>
      <c r="I36">
        <v>668</v>
      </c>
      <c r="J36">
        <v>0</v>
      </c>
      <c r="K36">
        <v>470</v>
      </c>
      <c r="L36">
        <v>385</v>
      </c>
      <c r="M36">
        <v>85</v>
      </c>
      <c r="N36">
        <v>85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85</v>
      </c>
      <c r="Z36">
        <v>0</v>
      </c>
      <c r="AA36">
        <v>0</v>
      </c>
      <c r="AB36">
        <v>85</v>
      </c>
      <c r="AC36">
        <v>6</v>
      </c>
      <c r="AD36">
        <v>79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2</v>
      </c>
      <c r="BD36">
        <v>1</v>
      </c>
      <c r="BE36">
        <v>1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2</v>
      </c>
      <c r="BO36">
        <v>40</v>
      </c>
      <c r="BP36">
        <v>11</v>
      </c>
      <c r="BQ36">
        <v>18</v>
      </c>
      <c r="BR36">
        <v>3</v>
      </c>
      <c r="BS36">
        <v>6</v>
      </c>
      <c r="BT36">
        <v>0</v>
      </c>
      <c r="BU36">
        <v>0</v>
      </c>
      <c r="BV36">
        <v>1</v>
      </c>
      <c r="BW36">
        <v>1</v>
      </c>
      <c r="BX36">
        <v>0</v>
      </c>
      <c r="BY36">
        <v>0</v>
      </c>
      <c r="BZ36">
        <v>40</v>
      </c>
      <c r="CA36">
        <v>1</v>
      </c>
      <c r="CB36">
        <v>1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1</v>
      </c>
      <c r="CM36">
        <v>1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1</v>
      </c>
      <c r="CT36">
        <v>0</v>
      </c>
      <c r="CU36">
        <v>0</v>
      </c>
      <c r="CV36">
        <v>0</v>
      </c>
      <c r="CW36">
        <v>0</v>
      </c>
      <c r="CX36">
        <v>1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9</v>
      </c>
      <c r="DL36">
        <v>1</v>
      </c>
      <c r="DM36">
        <v>1</v>
      </c>
      <c r="DN36">
        <v>0</v>
      </c>
      <c r="DO36">
        <v>0</v>
      </c>
      <c r="DP36">
        <v>7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9</v>
      </c>
      <c r="DW36">
        <v>26</v>
      </c>
      <c r="DX36">
        <v>2</v>
      </c>
      <c r="DY36">
        <v>1</v>
      </c>
      <c r="DZ36">
        <v>0</v>
      </c>
      <c r="EA36">
        <v>23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26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</row>
    <row r="37" spans="1:150" ht="12.75">
      <c r="A37">
        <v>32</v>
      </c>
      <c r="B37" t="str">
        <f>"060305"</f>
        <v>060305</v>
      </c>
      <c r="C37" t="str">
        <f>"Dubienka"</f>
        <v>Dubienka</v>
      </c>
      <c r="D37" t="str">
        <f t="shared" si="0"/>
        <v>chełmski</v>
      </c>
      <c r="E37" t="str">
        <f t="shared" si="1"/>
        <v>lubelskie</v>
      </c>
      <c r="F37">
        <v>1</v>
      </c>
      <c r="G37" t="str">
        <f>"Swietlica Wiejska Siedliszcze, Siedliszcze 61, 22-145 Dubienka"</f>
        <v>Swietlica Wiejska Siedliszcze, Siedliszcze 61, 22-145 Dubienka</v>
      </c>
      <c r="H37">
        <v>528</v>
      </c>
      <c r="I37">
        <v>528</v>
      </c>
      <c r="J37">
        <v>0</v>
      </c>
      <c r="K37">
        <v>380</v>
      </c>
      <c r="L37">
        <v>265</v>
      </c>
      <c r="M37">
        <v>115</v>
      </c>
      <c r="N37">
        <v>115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115</v>
      </c>
      <c r="Z37">
        <v>0</v>
      </c>
      <c r="AA37">
        <v>0</v>
      </c>
      <c r="AB37">
        <v>115</v>
      </c>
      <c r="AC37">
        <v>5</v>
      </c>
      <c r="AD37">
        <v>110</v>
      </c>
      <c r="AE37">
        <v>5</v>
      </c>
      <c r="AF37">
        <v>4</v>
      </c>
      <c r="AG37">
        <v>0</v>
      </c>
      <c r="AH37">
        <v>0</v>
      </c>
      <c r="AI37">
        <v>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5</v>
      </c>
      <c r="AQ37">
        <v>2</v>
      </c>
      <c r="AR37">
        <v>2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2</v>
      </c>
      <c r="BC37">
        <v>1</v>
      </c>
      <c r="BD37">
        <v>1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1</v>
      </c>
      <c r="BO37">
        <v>30</v>
      </c>
      <c r="BP37">
        <v>8</v>
      </c>
      <c r="BQ37">
        <v>12</v>
      </c>
      <c r="BR37">
        <v>3</v>
      </c>
      <c r="BS37">
        <v>0</v>
      </c>
      <c r="BT37">
        <v>4</v>
      </c>
      <c r="BU37">
        <v>0</v>
      </c>
      <c r="BV37">
        <v>0</v>
      </c>
      <c r="BW37">
        <v>3</v>
      </c>
      <c r="BX37">
        <v>0</v>
      </c>
      <c r="BY37">
        <v>0</v>
      </c>
      <c r="BZ37">
        <v>30</v>
      </c>
      <c r="CA37">
        <v>5</v>
      </c>
      <c r="CB37">
        <v>0</v>
      </c>
      <c r="CC37">
        <v>1</v>
      </c>
      <c r="CD37">
        <v>0</v>
      </c>
      <c r="CE37">
        <v>3</v>
      </c>
      <c r="CF37">
        <v>0</v>
      </c>
      <c r="CG37">
        <v>0</v>
      </c>
      <c r="CH37">
        <v>1</v>
      </c>
      <c r="CI37">
        <v>0</v>
      </c>
      <c r="CJ37">
        <v>0</v>
      </c>
      <c r="CK37">
        <v>0</v>
      </c>
      <c r="CL37">
        <v>5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2</v>
      </c>
      <c r="CZ37">
        <v>1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</v>
      </c>
      <c r="DG37">
        <v>0</v>
      </c>
      <c r="DH37">
        <v>0</v>
      </c>
      <c r="DI37">
        <v>0</v>
      </c>
      <c r="DJ37">
        <v>2</v>
      </c>
      <c r="DK37">
        <v>11</v>
      </c>
      <c r="DL37">
        <v>3</v>
      </c>
      <c r="DM37">
        <v>0</v>
      </c>
      <c r="DN37">
        <v>0</v>
      </c>
      <c r="DO37">
        <v>0</v>
      </c>
      <c r="DP37">
        <v>7</v>
      </c>
      <c r="DQ37">
        <v>0</v>
      </c>
      <c r="DR37">
        <v>0</v>
      </c>
      <c r="DS37">
        <v>0</v>
      </c>
      <c r="DT37">
        <v>0</v>
      </c>
      <c r="DU37">
        <v>1</v>
      </c>
      <c r="DV37">
        <v>11</v>
      </c>
      <c r="DW37">
        <v>54</v>
      </c>
      <c r="DX37">
        <v>12</v>
      </c>
      <c r="DY37">
        <v>5</v>
      </c>
      <c r="DZ37">
        <v>6</v>
      </c>
      <c r="EA37">
        <v>31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54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</row>
    <row r="38" spans="1:150" ht="12.75">
      <c r="A38">
        <v>33</v>
      </c>
      <c r="B38" t="str">
        <f>"060305"</f>
        <v>060305</v>
      </c>
      <c r="C38" t="str">
        <f>"Dubienka"</f>
        <v>Dubienka</v>
      </c>
      <c r="D38" t="str">
        <f aca="true" t="shared" si="6" ref="D38:D69">"chełmski"</f>
        <v>chełmski</v>
      </c>
      <c r="E38" t="str">
        <f t="shared" si="1"/>
        <v>lubelskie</v>
      </c>
      <c r="F38">
        <v>2</v>
      </c>
      <c r="G38" t="str">
        <f>"Gminny Zespół Szkół, ul. 3 Maja 4, 22-145 Dubienka"</f>
        <v>Gminny Zespół Szkół, ul. 3 Maja 4, 22-145 Dubienka</v>
      </c>
      <c r="H38">
        <v>1220</v>
      </c>
      <c r="I38">
        <v>1220</v>
      </c>
      <c r="J38">
        <v>0</v>
      </c>
      <c r="K38">
        <v>860</v>
      </c>
      <c r="L38">
        <v>636</v>
      </c>
      <c r="M38">
        <v>224</v>
      </c>
      <c r="N38">
        <v>224</v>
      </c>
      <c r="O38">
        <v>0</v>
      </c>
      <c r="P38">
        <v>0</v>
      </c>
      <c r="Q38">
        <v>8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224</v>
      </c>
      <c r="Z38">
        <v>0</v>
      </c>
      <c r="AA38">
        <v>0</v>
      </c>
      <c r="AB38">
        <v>224</v>
      </c>
      <c r="AC38">
        <v>3</v>
      </c>
      <c r="AD38">
        <v>221</v>
      </c>
      <c r="AE38">
        <v>7</v>
      </c>
      <c r="AF38">
        <v>3</v>
      </c>
      <c r="AG38">
        <v>1</v>
      </c>
      <c r="AH38">
        <v>0</v>
      </c>
      <c r="AI38">
        <v>0</v>
      </c>
      <c r="AJ38">
        <v>1</v>
      </c>
      <c r="AK38">
        <v>1</v>
      </c>
      <c r="AL38">
        <v>0</v>
      </c>
      <c r="AM38">
        <v>0</v>
      </c>
      <c r="AN38">
        <v>0</v>
      </c>
      <c r="AO38">
        <v>1</v>
      </c>
      <c r="AP38">
        <v>7</v>
      </c>
      <c r="AQ38">
        <v>2</v>
      </c>
      <c r="AR38">
        <v>0</v>
      </c>
      <c r="AS38">
        <v>1</v>
      </c>
      <c r="AT38">
        <v>0</v>
      </c>
      <c r="AU38">
        <v>0</v>
      </c>
      <c r="AV38">
        <v>0</v>
      </c>
      <c r="AW38">
        <v>1</v>
      </c>
      <c r="AX38">
        <v>0</v>
      </c>
      <c r="AY38">
        <v>0</v>
      </c>
      <c r="AZ38">
        <v>0</v>
      </c>
      <c r="BA38">
        <v>0</v>
      </c>
      <c r="BB38">
        <v>2</v>
      </c>
      <c r="BC38">
        <v>10</v>
      </c>
      <c r="BD38">
        <v>4</v>
      </c>
      <c r="BE38">
        <v>0</v>
      </c>
      <c r="BF38">
        <v>1</v>
      </c>
      <c r="BG38">
        <v>0</v>
      </c>
      <c r="BH38">
        <v>3</v>
      </c>
      <c r="BI38">
        <v>1</v>
      </c>
      <c r="BJ38">
        <v>0</v>
      </c>
      <c r="BK38">
        <v>0</v>
      </c>
      <c r="BL38">
        <v>1</v>
      </c>
      <c r="BM38">
        <v>0</v>
      </c>
      <c r="BN38">
        <v>10</v>
      </c>
      <c r="BO38">
        <v>48</v>
      </c>
      <c r="BP38">
        <v>11</v>
      </c>
      <c r="BQ38">
        <v>24</v>
      </c>
      <c r="BR38">
        <v>1</v>
      </c>
      <c r="BS38">
        <v>7</v>
      </c>
      <c r="BT38">
        <v>0</v>
      </c>
      <c r="BU38">
        <v>1</v>
      </c>
      <c r="BV38">
        <v>0</v>
      </c>
      <c r="BW38">
        <v>1</v>
      </c>
      <c r="BX38">
        <v>0</v>
      </c>
      <c r="BY38">
        <v>3</v>
      </c>
      <c r="BZ38">
        <v>48</v>
      </c>
      <c r="CA38">
        <v>10</v>
      </c>
      <c r="CB38">
        <v>9</v>
      </c>
      <c r="CC38">
        <v>0</v>
      </c>
      <c r="CD38">
        <v>0</v>
      </c>
      <c r="CE38">
        <v>0</v>
      </c>
      <c r="CF38">
        <v>1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10</v>
      </c>
      <c r="CM38">
        <v>4</v>
      </c>
      <c r="CN38">
        <v>4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4</v>
      </c>
      <c r="CY38">
        <v>6</v>
      </c>
      <c r="CZ38">
        <v>2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4</v>
      </c>
      <c r="DJ38">
        <v>6</v>
      </c>
      <c r="DK38">
        <v>53</v>
      </c>
      <c r="DL38">
        <v>9</v>
      </c>
      <c r="DM38">
        <v>4</v>
      </c>
      <c r="DN38">
        <v>3</v>
      </c>
      <c r="DO38">
        <v>1</v>
      </c>
      <c r="DP38">
        <v>31</v>
      </c>
      <c r="DQ38">
        <v>2</v>
      </c>
      <c r="DR38">
        <v>0</v>
      </c>
      <c r="DS38">
        <v>2</v>
      </c>
      <c r="DT38">
        <v>0</v>
      </c>
      <c r="DU38">
        <v>1</v>
      </c>
      <c r="DV38">
        <v>53</v>
      </c>
      <c r="DW38">
        <v>81</v>
      </c>
      <c r="DX38">
        <v>15</v>
      </c>
      <c r="DY38">
        <v>11</v>
      </c>
      <c r="DZ38">
        <v>4</v>
      </c>
      <c r="EA38">
        <v>51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81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</row>
    <row r="39" spans="1:150" ht="12.75">
      <c r="A39">
        <v>34</v>
      </c>
      <c r="B39" t="str">
        <f>"060305"</f>
        <v>060305</v>
      </c>
      <c r="C39" t="str">
        <f>"Dubienka"</f>
        <v>Dubienka</v>
      </c>
      <c r="D39" t="str">
        <f t="shared" si="6"/>
        <v>chełmski</v>
      </c>
      <c r="E39" t="str">
        <f t="shared" si="1"/>
        <v>lubelskie</v>
      </c>
      <c r="F39">
        <v>3</v>
      </c>
      <c r="G39" t="str">
        <f>"Remiza OSP, Skryhiczyn 78, 22-145 Dubienka"</f>
        <v>Remiza OSP, Skryhiczyn 78, 22-145 Dubienka</v>
      </c>
      <c r="H39">
        <v>401</v>
      </c>
      <c r="I39">
        <v>401</v>
      </c>
      <c r="J39">
        <v>0</v>
      </c>
      <c r="K39">
        <v>280</v>
      </c>
      <c r="L39">
        <v>206</v>
      </c>
      <c r="M39">
        <v>74</v>
      </c>
      <c r="N39">
        <v>74</v>
      </c>
      <c r="O39">
        <v>0</v>
      </c>
      <c r="P39">
        <v>0</v>
      </c>
      <c r="Q39">
        <v>1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74</v>
      </c>
      <c r="Z39">
        <v>0</v>
      </c>
      <c r="AA39">
        <v>0</v>
      </c>
      <c r="AB39">
        <v>74</v>
      </c>
      <c r="AC39">
        <v>5</v>
      </c>
      <c r="AD39">
        <v>69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1</v>
      </c>
      <c r="AR39">
        <v>1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1</v>
      </c>
      <c r="BC39">
        <v>3</v>
      </c>
      <c r="BD39">
        <v>1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1</v>
      </c>
      <c r="BK39">
        <v>1</v>
      </c>
      <c r="BL39">
        <v>0</v>
      </c>
      <c r="BM39">
        <v>0</v>
      </c>
      <c r="BN39">
        <v>3</v>
      </c>
      <c r="BO39">
        <v>9</v>
      </c>
      <c r="BP39">
        <v>2</v>
      </c>
      <c r="BQ39">
        <v>3</v>
      </c>
      <c r="BR39">
        <v>0</v>
      </c>
      <c r="BS39">
        <v>3</v>
      </c>
      <c r="BT39">
        <v>0</v>
      </c>
      <c r="BU39">
        <v>1</v>
      </c>
      <c r="BV39">
        <v>0</v>
      </c>
      <c r="BW39">
        <v>0</v>
      </c>
      <c r="BX39">
        <v>0</v>
      </c>
      <c r="BY39">
        <v>0</v>
      </c>
      <c r="BZ39">
        <v>9</v>
      </c>
      <c r="CA39">
        <v>4</v>
      </c>
      <c r="CB39">
        <v>4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4</v>
      </c>
      <c r="CM39">
        <v>3</v>
      </c>
      <c r="CN39">
        <v>0</v>
      </c>
      <c r="CO39">
        <v>2</v>
      </c>
      <c r="CP39">
        <v>1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3</v>
      </c>
      <c r="CY39">
        <v>5</v>
      </c>
      <c r="CZ39">
        <v>2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3</v>
      </c>
      <c r="DJ39">
        <v>5</v>
      </c>
      <c r="DK39">
        <v>13</v>
      </c>
      <c r="DL39">
        <v>6</v>
      </c>
      <c r="DM39">
        <v>1</v>
      </c>
      <c r="DN39">
        <v>0</v>
      </c>
      <c r="DO39">
        <v>1</v>
      </c>
      <c r="DP39">
        <v>4</v>
      </c>
      <c r="DQ39">
        <v>1</v>
      </c>
      <c r="DR39">
        <v>0</v>
      </c>
      <c r="DS39">
        <v>0</v>
      </c>
      <c r="DT39">
        <v>0</v>
      </c>
      <c r="DU39">
        <v>0</v>
      </c>
      <c r="DV39">
        <v>13</v>
      </c>
      <c r="DW39">
        <v>31</v>
      </c>
      <c r="DX39">
        <v>2</v>
      </c>
      <c r="DY39">
        <v>8</v>
      </c>
      <c r="DZ39">
        <v>0</v>
      </c>
      <c r="EA39">
        <v>21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31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</row>
    <row r="40" spans="1:150" ht="12.75">
      <c r="A40">
        <v>35</v>
      </c>
      <c r="B40" t="str">
        <f>"060306"</f>
        <v>060306</v>
      </c>
      <c r="C40" t="str">
        <f>"Kamień"</f>
        <v>Kamień</v>
      </c>
      <c r="D40" t="str">
        <f t="shared" si="6"/>
        <v>chełmski</v>
      </c>
      <c r="E40" t="str">
        <f t="shared" si="1"/>
        <v>lubelskie</v>
      </c>
      <c r="F40">
        <v>1</v>
      </c>
      <c r="G40" t="str">
        <f>"Szkoła Podstawowa, Czerniejów 8, 22-113 Kamień"</f>
        <v>Szkoła Podstawowa, Czerniejów 8, 22-113 Kamień</v>
      </c>
      <c r="H40">
        <v>370</v>
      </c>
      <c r="I40">
        <v>370</v>
      </c>
      <c r="J40">
        <v>0</v>
      </c>
      <c r="K40">
        <v>260</v>
      </c>
      <c r="L40">
        <v>224</v>
      </c>
      <c r="M40">
        <v>36</v>
      </c>
      <c r="N40">
        <v>36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36</v>
      </c>
      <c r="Z40">
        <v>0</v>
      </c>
      <c r="AA40">
        <v>0</v>
      </c>
      <c r="AB40">
        <v>36</v>
      </c>
      <c r="AC40">
        <v>3</v>
      </c>
      <c r="AD40">
        <v>33</v>
      </c>
      <c r="AE40">
        <v>3</v>
      </c>
      <c r="AF40">
        <v>2</v>
      </c>
      <c r="AG40">
        <v>0</v>
      </c>
      <c r="AH40">
        <v>0</v>
      </c>
      <c r="AI40">
        <v>1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3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11</v>
      </c>
      <c r="BP40">
        <v>3</v>
      </c>
      <c r="BQ40">
        <v>2</v>
      </c>
      <c r="BR40">
        <v>0</v>
      </c>
      <c r="BS40">
        <v>5</v>
      </c>
      <c r="BT40">
        <v>0</v>
      </c>
      <c r="BU40">
        <v>0</v>
      </c>
      <c r="BV40">
        <v>1</v>
      </c>
      <c r="BW40">
        <v>0</v>
      </c>
      <c r="BX40">
        <v>0</v>
      </c>
      <c r="BY40">
        <v>0</v>
      </c>
      <c r="BZ40">
        <v>11</v>
      </c>
      <c r="CA40">
        <v>2</v>
      </c>
      <c r="CB40">
        <v>0</v>
      </c>
      <c r="CC40">
        <v>0</v>
      </c>
      <c r="CD40">
        <v>0</v>
      </c>
      <c r="CE40">
        <v>1</v>
      </c>
      <c r="CF40">
        <v>0</v>
      </c>
      <c r="CG40">
        <v>0</v>
      </c>
      <c r="CH40">
        <v>1</v>
      </c>
      <c r="CI40">
        <v>0</v>
      </c>
      <c r="CJ40">
        <v>0</v>
      </c>
      <c r="CK40">
        <v>0</v>
      </c>
      <c r="CL40">
        <v>2</v>
      </c>
      <c r="CM40">
        <v>1</v>
      </c>
      <c r="CN40">
        <v>0</v>
      </c>
      <c r="CO40">
        <v>0</v>
      </c>
      <c r="CP40">
        <v>0</v>
      </c>
      <c r="CQ40">
        <v>0</v>
      </c>
      <c r="CR40">
        <v>1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1</v>
      </c>
      <c r="CY40">
        <v>4</v>
      </c>
      <c r="CZ40">
        <v>1</v>
      </c>
      <c r="DA40">
        <v>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4</v>
      </c>
      <c r="DK40">
        <v>3</v>
      </c>
      <c r="DL40">
        <v>0</v>
      </c>
      <c r="DM40">
        <v>0</v>
      </c>
      <c r="DN40">
        <v>0</v>
      </c>
      <c r="DO40">
        <v>0</v>
      </c>
      <c r="DP40">
        <v>3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3</v>
      </c>
      <c r="DW40">
        <v>9</v>
      </c>
      <c r="DX40">
        <v>0</v>
      </c>
      <c r="DY40">
        <v>0</v>
      </c>
      <c r="DZ40">
        <v>0</v>
      </c>
      <c r="EA40">
        <v>8</v>
      </c>
      <c r="EB40">
        <v>1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9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</row>
    <row r="41" spans="1:150" ht="12.75">
      <c r="A41">
        <v>36</v>
      </c>
      <c r="B41" t="str">
        <f>"060306"</f>
        <v>060306</v>
      </c>
      <c r="C41" t="str">
        <f>"Kamień"</f>
        <v>Kamień</v>
      </c>
      <c r="D41" t="str">
        <f t="shared" si="6"/>
        <v>chełmski</v>
      </c>
      <c r="E41" t="str">
        <f t="shared" si="1"/>
        <v>lubelskie</v>
      </c>
      <c r="F41">
        <v>2</v>
      </c>
      <c r="G41" t="str">
        <f>"Szkoła Podstawowa, Kamień - Kolonia 55, 22-113 Kamień"</f>
        <v>Szkoła Podstawowa, Kamień - Kolonia 55, 22-113 Kamień</v>
      </c>
      <c r="H41">
        <v>1524</v>
      </c>
      <c r="I41">
        <v>1524</v>
      </c>
      <c r="J41">
        <v>0</v>
      </c>
      <c r="K41">
        <v>1070</v>
      </c>
      <c r="L41">
        <v>773</v>
      </c>
      <c r="M41">
        <v>297</v>
      </c>
      <c r="N41">
        <v>297</v>
      </c>
      <c r="O41">
        <v>0</v>
      </c>
      <c r="P41">
        <v>0</v>
      </c>
      <c r="Q41">
        <v>3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297</v>
      </c>
      <c r="Z41">
        <v>0</v>
      </c>
      <c r="AA41">
        <v>0</v>
      </c>
      <c r="AB41">
        <v>297</v>
      </c>
      <c r="AC41">
        <v>9</v>
      </c>
      <c r="AD41">
        <v>288</v>
      </c>
      <c r="AE41">
        <v>9</v>
      </c>
      <c r="AF41">
        <v>3</v>
      </c>
      <c r="AG41">
        <v>0</v>
      </c>
      <c r="AH41">
        <v>2</v>
      </c>
      <c r="AI41">
        <v>0</v>
      </c>
      <c r="AJ41">
        <v>0</v>
      </c>
      <c r="AK41">
        <v>0</v>
      </c>
      <c r="AL41">
        <v>3</v>
      </c>
      <c r="AM41">
        <v>1</v>
      </c>
      <c r="AN41">
        <v>0</v>
      </c>
      <c r="AO41">
        <v>0</v>
      </c>
      <c r="AP41">
        <v>9</v>
      </c>
      <c r="AQ41">
        <v>2</v>
      </c>
      <c r="AR41">
        <v>2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2</v>
      </c>
      <c r="BC41">
        <v>6</v>
      </c>
      <c r="BD41">
        <v>2</v>
      </c>
      <c r="BE41">
        <v>2</v>
      </c>
      <c r="BF41">
        <v>0</v>
      </c>
      <c r="BG41">
        <v>0</v>
      </c>
      <c r="BH41">
        <v>1</v>
      </c>
      <c r="BI41">
        <v>0</v>
      </c>
      <c r="BJ41">
        <v>0</v>
      </c>
      <c r="BK41">
        <v>0</v>
      </c>
      <c r="BL41">
        <v>0</v>
      </c>
      <c r="BM41">
        <v>1</v>
      </c>
      <c r="BN41">
        <v>6</v>
      </c>
      <c r="BO41">
        <v>68</v>
      </c>
      <c r="BP41">
        <v>14</v>
      </c>
      <c r="BQ41">
        <v>32</v>
      </c>
      <c r="BR41">
        <v>0</v>
      </c>
      <c r="BS41">
        <v>20</v>
      </c>
      <c r="BT41">
        <v>0</v>
      </c>
      <c r="BU41">
        <v>0</v>
      </c>
      <c r="BV41">
        <v>1</v>
      </c>
      <c r="BW41">
        <v>0</v>
      </c>
      <c r="BX41">
        <v>0</v>
      </c>
      <c r="BY41">
        <v>1</v>
      </c>
      <c r="BZ41">
        <v>68</v>
      </c>
      <c r="CA41">
        <v>1</v>
      </c>
      <c r="CB41">
        <v>1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1</v>
      </c>
      <c r="CM41">
        <v>6</v>
      </c>
      <c r="CN41">
        <v>3</v>
      </c>
      <c r="CO41">
        <v>0</v>
      </c>
      <c r="CP41">
        <v>0</v>
      </c>
      <c r="CQ41">
        <v>0</v>
      </c>
      <c r="CR41">
        <v>1</v>
      </c>
      <c r="CS41">
        <v>0</v>
      </c>
      <c r="CT41">
        <v>0</v>
      </c>
      <c r="CU41">
        <v>0</v>
      </c>
      <c r="CV41">
        <v>0</v>
      </c>
      <c r="CW41">
        <v>2</v>
      </c>
      <c r="CX41">
        <v>6</v>
      </c>
      <c r="CY41">
        <v>20</v>
      </c>
      <c r="CZ41">
        <v>8</v>
      </c>
      <c r="DA41">
        <v>2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1</v>
      </c>
      <c r="DH41">
        <v>0</v>
      </c>
      <c r="DI41">
        <v>9</v>
      </c>
      <c r="DJ41">
        <v>20</v>
      </c>
      <c r="DK41">
        <v>31</v>
      </c>
      <c r="DL41">
        <v>8</v>
      </c>
      <c r="DM41">
        <v>1</v>
      </c>
      <c r="DN41">
        <v>0</v>
      </c>
      <c r="DO41">
        <v>0</v>
      </c>
      <c r="DP41">
        <v>22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31</v>
      </c>
      <c r="DW41">
        <v>145</v>
      </c>
      <c r="DX41">
        <v>7</v>
      </c>
      <c r="DY41">
        <v>8</v>
      </c>
      <c r="DZ41">
        <v>8</v>
      </c>
      <c r="EA41">
        <v>122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145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</row>
    <row r="42" spans="1:150" ht="12.75">
      <c r="A42">
        <v>37</v>
      </c>
      <c r="B42" t="str">
        <f>"060306"</f>
        <v>060306</v>
      </c>
      <c r="C42" t="str">
        <f>"Kamień"</f>
        <v>Kamień</v>
      </c>
      <c r="D42" t="str">
        <f t="shared" si="6"/>
        <v>chełmski</v>
      </c>
      <c r="E42" t="str">
        <f t="shared" si="1"/>
        <v>lubelskie</v>
      </c>
      <c r="F42">
        <v>3</v>
      </c>
      <c r="G42" t="str">
        <f>"Świetlica Wiejska, Pławanice 33C, 22-113 Kamień"</f>
        <v>Świetlica Wiejska, Pławanice 33C, 22-113 Kamień</v>
      </c>
      <c r="H42">
        <v>290</v>
      </c>
      <c r="I42">
        <v>290</v>
      </c>
      <c r="J42">
        <v>0</v>
      </c>
      <c r="K42">
        <v>199</v>
      </c>
      <c r="L42">
        <v>124</v>
      </c>
      <c r="M42">
        <v>75</v>
      </c>
      <c r="N42">
        <v>75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75</v>
      </c>
      <c r="Z42">
        <v>0</v>
      </c>
      <c r="AA42">
        <v>0</v>
      </c>
      <c r="AB42">
        <v>75</v>
      </c>
      <c r="AC42">
        <v>2</v>
      </c>
      <c r="AD42">
        <v>73</v>
      </c>
      <c r="AE42">
        <v>1</v>
      </c>
      <c r="AF42">
        <v>0</v>
      </c>
      <c r="AG42">
        <v>0</v>
      </c>
      <c r="AH42">
        <v>0</v>
      </c>
      <c r="AI42">
        <v>1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1</v>
      </c>
      <c r="AQ42">
        <v>2</v>
      </c>
      <c r="AR42">
        <v>2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2</v>
      </c>
      <c r="BC42">
        <v>2</v>
      </c>
      <c r="BD42">
        <v>0</v>
      </c>
      <c r="BE42">
        <v>0</v>
      </c>
      <c r="BF42">
        <v>0</v>
      </c>
      <c r="BG42">
        <v>0</v>
      </c>
      <c r="BH42">
        <v>1</v>
      </c>
      <c r="BI42">
        <v>0</v>
      </c>
      <c r="BJ42">
        <v>0</v>
      </c>
      <c r="BK42">
        <v>0</v>
      </c>
      <c r="BL42">
        <v>1</v>
      </c>
      <c r="BM42">
        <v>0</v>
      </c>
      <c r="BN42">
        <v>2</v>
      </c>
      <c r="BO42">
        <v>22</v>
      </c>
      <c r="BP42">
        <v>2</v>
      </c>
      <c r="BQ42">
        <v>13</v>
      </c>
      <c r="BR42">
        <v>0</v>
      </c>
      <c r="BS42">
        <v>5</v>
      </c>
      <c r="BT42">
        <v>1</v>
      </c>
      <c r="BU42">
        <v>0</v>
      </c>
      <c r="BV42">
        <v>0</v>
      </c>
      <c r="BW42">
        <v>1</v>
      </c>
      <c r="BX42">
        <v>0</v>
      </c>
      <c r="BY42">
        <v>0</v>
      </c>
      <c r="BZ42">
        <v>22</v>
      </c>
      <c r="CA42">
        <v>2</v>
      </c>
      <c r="CB42">
        <v>0</v>
      </c>
      <c r="CC42">
        <v>0</v>
      </c>
      <c r="CD42">
        <v>0</v>
      </c>
      <c r="CE42">
        <v>1</v>
      </c>
      <c r="CF42">
        <v>0</v>
      </c>
      <c r="CG42">
        <v>0</v>
      </c>
      <c r="CH42">
        <v>1</v>
      </c>
      <c r="CI42">
        <v>0</v>
      </c>
      <c r="CJ42">
        <v>0</v>
      </c>
      <c r="CK42">
        <v>0</v>
      </c>
      <c r="CL42">
        <v>2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3</v>
      </c>
      <c r="CZ42">
        <v>0</v>
      </c>
      <c r="DA42">
        <v>1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2</v>
      </c>
      <c r="DJ42">
        <v>3</v>
      </c>
      <c r="DK42">
        <v>2</v>
      </c>
      <c r="DL42">
        <v>1</v>
      </c>
      <c r="DM42">
        <v>0</v>
      </c>
      <c r="DN42">
        <v>0</v>
      </c>
      <c r="DO42">
        <v>0</v>
      </c>
      <c r="DP42">
        <v>1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2</v>
      </c>
      <c r="DW42">
        <v>39</v>
      </c>
      <c r="DX42">
        <v>8</v>
      </c>
      <c r="DY42">
        <v>0</v>
      </c>
      <c r="DZ42">
        <v>3</v>
      </c>
      <c r="EA42">
        <v>28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39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</row>
    <row r="43" spans="1:150" ht="12.75">
      <c r="A43">
        <v>38</v>
      </c>
      <c r="B43" t="str">
        <f>"060306"</f>
        <v>060306</v>
      </c>
      <c r="C43" t="str">
        <f>"Kamień"</f>
        <v>Kamień</v>
      </c>
      <c r="D43" t="str">
        <f t="shared" si="6"/>
        <v>chełmski</v>
      </c>
      <c r="E43" t="str">
        <f t="shared" si="1"/>
        <v>lubelskie</v>
      </c>
      <c r="F43">
        <v>4</v>
      </c>
      <c r="G43" t="str">
        <f>"Świetlica Wiejska, Strachosław 77A, 22-113 Kamień"</f>
        <v>Świetlica Wiejska, Strachosław 77A, 22-113 Kamień</v>
      </c>
      <c r="H43">
        <v>581</v>
      </c>
      <c r="I43">
        <v>581</v>
      </c>
      <c r="J43">
        <v>0</v>
      </c>
      <c r="K43">
        <v>410</v>
      </c>
      <c r="L43">
        <v>280</v>
      </c>
      <c r="M43">
        <v>130</v>
      </c>
      <c r="N43">
        <v>130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130</v>
      </c>
      <c r="Z43">
        <v>0</v>
      </c>
      <c r="AA43">
        <v>0</v>
      </c>
      <c r="AB43">
        <v>130</v>
      </c>
      <c r="AC43">
        <v>6</v>
      </c>
      <c r="AD43">
        <v>124</v>
      </c>
      <c r="AE43">
        <v>2</v>
      </c>
      <c r="AF43">
        <v>2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2</v>
      </c>
      <c r="AQ43">
        <v>2</v>
      </c>
      <c r="AR43">
        <v>1</v>
      </c>
      <c r="AS43">
        <v>0</v>
      </c>
      <c r="AT43">
        <v>1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36</v>
      </c>
      <c r="BP43">
        <v>4</v>
      </c>
      <c r="BQ43">
        <v>16</v>
      </c>
      <c r="BR43">
        <v>1</v>
      </c>
      <c r="BS43">
        <v>9</v>
      </c>
      <c r="BT43">
        <v>0</v>
      </c>
      <c r="BU43">
        <v>1</v>
      </c>
      <c r="BV43">
        <v>0</v>
      </c>
      <c r="BW43">
        <v>4</v>
      </c>
      <c r="BX43">
        <v>1</v>
      </c>
      <c r="BY43">
        <v>0</v>
      </c>
      <c r="BZ43">
        <v>36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2</v>
      </c>
      <c r="CN43">
        <v>0</v>
      </c>
      <c r="CO43">
        <v>0</v>
      </c>
      <c r="CP43">
        <v>0</v>
      </c>
      <c r="CQ43">
        <v>0</v>
      </c>
      <c r="CR43">
        <v>1</v>
      </c>
      <c r="CS43">
        <v>0</v>
      </c>
      <c r="CT43">
        <v>0</v>
      </c>
      <c r="CU43">
        <v>1</v>
      </c>
      <c r="CV43">
        <v>0</v>
      </c>
      <c r="CW43">
        <v>0</v>
      </c>
      <c r="CX43">
        <v>2</v>
      </c>
      <c r="CY43">
        <v>1</v>
      </c>
      <c r="CZ43">
        <v>1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1</v>
      </c>
      <c r="DK43">
        <v>24</v>
      </c>
      <c r="DL43">
        <v>0</v>
      </c>
      <c r="DM43">
        <v>2</v>
      </c>
      <c r="DN43">
        <v>1</v>
      </c>
      <c r="DO43">
        <v>0</v>
      </c>
      <c r="DP43">
        <v>21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24</v>
      </c>
      <c r="DW43">
        <v>57</v>
      </c>
      <c r="DX43">
        <v>12</v>
      </c>
      <c r="DY43">
        <v>1</v>
      </c>
      <c r="DZ43">
        <v>0</v>
      </c>
      <c r="EA43">
        <v>44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57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</row>
    <row r="44" spans="1:150" ht="12.75">
      <c r="A44">
        <v>39</v>
      </c>
      <c r="B44" t="str">
        <f>"060306"</f>
        <v>060306</v>
      </c>
      <c r="C44" t="str">
        <f>"Kamień"</f>
        <v>Kamień</v>
      </c>
      <c r="D44" t="str">
        <f t="shared" si="6"/>
        <v>chełmski</v>
      </c>
      <c r="E44" t="str">
        <f t="shared" si="1"/>
        <v>lubelskie</v>
      </c>
      <c r="F44">
        <v>5</v>
      </c>
      <c r="G44" t="str">
        <f>"Świetlica Wiejska, Wolawce 41, 22-113 Kamień"</f>
        <v>Świetlica Wiejska, Wolawce 41, 22-113 Kamień</v>
      </c>
      <c r="H44">
        <v>522</v>
      </c>
      <c r="I44">
        <v>522</v>
      </c>
      <c r="J44">
        <v>0</v>
      </c>
      <c r="K44">
        <v>370</v>
      </c>
      <c r="L44">
        <v>276</v>
      </c>
      <c r="M44">
        <v>94</v>
      </c>
      <c r="N44">
        <v>94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94</v>
      </c>
      <c r="Z44">
        <v>0</v>
      </c>
      <c r="AA44">
        <v>0</v>
      </c>
      <c r="AB44">
        <v>94</v>
      </c>
      <c r="AC44">
        <v>6</v>
      </c>
      <c r="AD44">
        <v>88</v>
      </c>
      <c r="AE44">
        <v>2</v>
      </c>
      <c r="AF44">
        <v>0</v>
      </c>
      <c r="AG44">
        <v>0</v>
      </c>
      <c r="AH44">
        <v>0</v>
      </c>
      <c r="AI44">
        <v>0</v>
      </c>
      <c r="AJ44">
        <v>2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2</v>
      </c>
      <c r="AQ44">
        <v>1</v>
      </c>
      <c r="AR44">
        <v>0</v>
      </c>
      <c r="AS44">
        <v>0</v>
      </c>
      <c r="AT44">
        <v>0</v>
      </c>
      <c r="AU44">
        <v>0</v>
      </c>
      <c r="AV44">
        <v>1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1</v>
      </c>
      <c r="BC44">
        <v>1</v>
      </c>
      <c r="BD44">
        <v>0</v>
      </c>
      <c r="BE44">
        <v>0</v>
      </c>
      <c r="BF44">
        <v>1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1</v>
      </c>
      <c r="BO44">
        <v>29</v>
      </c>
      <c r="BP44">
        <v>2</v>
      </c>
      <c r="BQ44">
        <v>7</v>
      </c>
      <c r="BR44">
        <v>3</v>
      </c>
      <c r="BS44">
        <v>17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29</v>
      </c>
      <c r="CA44">
        <v>2</v>
      </c>
      <c r="CB44">
        <v>1</v>
      </c>
      <c r="CC44">
        <v>0</v>
      </c>
      <c r="CD44">
        <v>0</v>
      </c>
      <c r="CE44">
        <v>1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2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12</v>
      </c>
      <c r="CZ44">
        <v>7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5</v>
      </c>
      <c r="DJ44">
        <v>12</v>
      </c>
      <c r="DK44">
        <v>11</v>
      </c>
      <c r="DL44">
        <v>1</v>
      </c>
      <c r="DM44">
        <v>1</v>
      </c>
      <c r="DN44">
        <v>0</v>
      </c>
      <c r="DO44">
        <v>0</v>
      </c>
      <c r="DP44">
        <v>9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11</v>
      </c>
      <c r="DW44">
        <v>30</v>
      </c>
      <c r="DX44">
        <v>9</v>
      </c>
      <c r="DY44">
        <v>1</v>
      </c>
      <c r="DZ44">
        <v>1</v>
      </c>
      <c r="EA44">
        <v>19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30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</row>
    <row r="45" spans="1:150" ht="12.75">
      <c r="A45">
        <v>40</v>
      </c>
      <c r="B45" t="str">
        <f>"060307"</f>
        <v>060307</v>
      </c>
      <c r="C45" t="str">
        <f>"Leśniowice"</f>
        <v>Leśniowice</v>
      </c>
      <c r="D45" t="str">
        <f t="shared" si="6"/>
        <v>chełmski</v>
      </c>
      <c r="E45" t="str">
        <f t="shared" si="1"/>
        <v>lubelskie</v>
      </c>
      <c r="F45">
        <v>1</v>
      </c>
      <c r="G45" t="str">
        <f>"Świetlica Wiejska w Poniatówce, Wygnańce 32, 22-122 Leśniowice"</f>
        <v>Świetlica Wiejska w Poniatówce, Wygnańce 32, 22-122 Leśniowice</v>
      </c>
      <c r="H45">
        <v>381</v>
      </c>
      <c r="I45">
        <v>381</v>
      </c>
      <c r="J45">
        <v>0</v>
      </c>
      <c r="K45">
        <v>270</v>
      </c>
      <c r="L45">
        <v>210</v>
      </c>
      <c r="M45">
        <v>60</v>
      </c>
      <c r="N45">
        <v>60</v>
      </c>
      <c r="O45">
        <v>0</v>
      </c>
      <c r="P45">
        <v>2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60</v>
      </c>
      <c r="Z45">
        <v>0</v>
      </c>
      <c r="AA45">
        <v>0</v>
      </c>
      <c r="AB45">
        <v>60</v>
      </c>
      <c r="AC45">
        <v>1</v>
      </c>
      <c r="AD45">
        <v>59</v>
      </c>
      <c r="AE45">
        <v>1</v>
      </c>
      <c r="AF45">
        <v>0</v>
      </c>
      <c r="AG45">
        <v>1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1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1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1</v>
      </c>
      <c r="BN45">
        <v>1</v>
      </c>
      <c r="BO45">
        <v>8</v>
      </c>
      <c r="BP45">
        <v>2</v>
      </c>
      <c r="BQ45">
        <v>0</v>
      </c>
      <c r="BR45">
        <v>0</v>
      </c>
      <c r="BS45">
        <v>3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1</v>
      </c>
      <c r="BZ45">
        <v>8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7</v>
      </c>
      <c r="DL45">
        <v>0</v>
      </c>
      <c r="DM45">
        <v>0</v>
      </c>
      <c r="DN45">
        <v>3</v>
      </c>
      <c r="DO45">
        <v>0</v>
      </c>
      <c r="DP45">
        <v>4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7</v>
      </c>
      <c r="DW45">
        <v>42</v>
      </c>
      <c r="DX45">
        <v>26</v>
      </c>
      <c r="DY45">
        <v>3</v>
      </c>
      <c r="DZ45">
        <v>0</v>
      </c>
      <c r="EA45">
        <v>13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42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</row>
    <row r="46" spans="1:150" ht="12.75">
      <c r="A46">
        <v>41</v>
      </c>
      <c r="B46" t="str">
        <f>"060307"</f>
        <v>060307</v>
      </c>
      <c r="C46" t="str">
        <f>"Leśniowice"</f>
        <v>Leśniowice</v>
      </c>
      <c r="D46" t="str">
        <f t="shared" si="6"/>
        <v>chełmski</v>
      </c>
      <c r="E46" t="str">
        <f t="shared" si="1"/>
        <v>lubelskie</v>
      </c>
      <c r="F46">
        <v>2</v>
      </c>
      <c r="G46" t="str">
        <f>"Szkoła Podstawowa w Leśniowicach, Leśniowice 24B, 22-122 Leśniowice"</f>
        <v>Szkoła Podstawowa w Leśniowicach, Leśniowice 24B, 22-122 Leśniowice</v>
      </c>
      <c r="H46">
        <v>1058</v>
      </c>
      <c r="I46">
        <v>1058</v>
      </c>
      <c r="J46">
        <v>0</v>
      </c>
      <c r="K46">
        <v>750</v>
      </c>
      <c r="L46">
        <v>600</v>
      </c>
      <c r="M46">
        <v>150</v>
      </c>
      <c r="N46">
        <v>150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150</v>
      </c>
      <c r="Z46">
        <v>0</v>
      </c>
      <c r="AA46">
        <v>0</v>
      </c>
      <c r="AB46">
        <v>150</v>
      </c>
      <c r="AC46">
        <v>6</v>
      </c>
      <c r="AD46">
        <v>144</v>
      </c>
      <c r="AE46">
        <v>5</v>
      </c>
      <c r="AF46">
        <v>5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5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11</v>
      </c>
      <c r="BD46">
        <v>4</v>
      </c>
      <c r="BE46">
        <v>0</v>
      </c>
      <c r="BF46">
        <v>1</v>
      </c>
      <c r="BG46">
        <v>0</v>
      </c>
      <c r="BH46">
        <v>4</v>
      </c>
      <c r="BI46">
        <v>1</v>
      </c>
      <c r="BJ46">
        <v>0</v>
      </c>
      <c r="BK46">
        <v>0</v>
      </c>
      <c r="BL46">
        <v>1</v>
      </c>
      <c r="BM46">
        <v>0</v>
      </c>
      <c r="BN46">
        <v>11</v>
      </c>
      <c r="BO46">
        <v>31</v>
      </c>
      <c r="BP46">
        <v>5</v>
      </c>
      <c r="BQ46">
        <v>10</v>
      </c>
      <c r="BR46">
        <v>1</v>
      </c>
      <c r="BS46">
        <v>10</v>
      </c>
      <c r="BT46">
        <v>2</v>
      </c>
      <c r="BU46">
        <v>1</v>
      </c>
      <c r="BV46">
        <v>1</v>
      </c>
      <c r="BW46">
        <v>0</v>
      </c>
      <c r="BX46">
        <v>0</v>
      </c>
      <c r="BY46">
        <v>1</v>
      </c>
      <c r="BZ46">
        <v>31</v>
      </c>
      <c r="CA46">
        <v>3</v>
      </c>
      <c r="CB46">
        <v>1</v>
      </c>
      <c r="CC46">
        <v>0</v>
      </c>
      <c r="CD46">
        <v>1</v>
      </c>
      <c r="CE46">
        <v>1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3</v>
      </c>
      <c r="CM46">
        <v>2</v>
      </c>
      <c r="CN46">
        <v>2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2</v>
      </c>
      <c r="CY46">
        <v>2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2</v>
      </c>
      <c r="DJ46">
        <v>2</v>
      </c>
      <c r="DK46">
        <v>16</v>
      </c>
      <c r="DL46">
        <v>1</v>
      </c>
      <c r="DM46">
        <v>2</v>
      </c>
      <c r="DN46">
        <v>0</v>
      </c>
      <c r="DO46">
        <v>0</v>
      </c>
      <c r="DP46">
        <v>12</v>
      </c>
      <c r="DQ46">
        <v>0</v>
      </c>
      <c r="DR46">
        <v>1</v>
      </c>
      <c r="DS46">
        <v>0</v>
      </c>
      <c r="DT46">
        <v>0</v>
      </c>
      <c r="DU46">
        <v>0</v>
      </c>
      <c r="DV46">
        <v>16</v>
      </c>
      <c r="DW46">
        <v>74</v>
      </c>
      <c r="DX46">
        <v>26</v>
      </c>
      <c r="DY46">
        <v>3</v>
      </c>
      <c r="DZ46">
        <v>0</v>
      </c>
      <c r="EA46">
        <v>45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74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</row>
    <row r="47" spans="1:150" ht="12.75">
      <c r="A47">
        <v>42</v>
      </c>
      <c r="B47" t="str">
        <f>"060307"</f>
        <v>060307</v>
      </c>
      <c r="C47" t="str">
        <f>"Leśniowice"</f>
        <v>Leśniowice</v>
      </c>
      <c r="D47" t="str">
        <f t="shared" si="6"/>
        <v>chełmski</v>
      </c>
      <c r="E47" t="str">
        <f t="shared" si="1"/>
        <v>lubelskie</v>
      </c>
      <c r="F47">
        <v>3</v>
      </c>
      <c r="G47" t="str">
        <f>"Szkoła Podstawowa w Rakołupach, Rakołupy Duże 5A, 22-122 Leśniowice"</f>
        <v>Szkoła Podstawowa w Rakołupach, Rakołupy Duże 5A, 22-122 Leśniowice</v>
      </c>
      <c r="H47">
        <v>661</v>
      </c>
      <c r="I47">
        <v>661</v>
      </c>
      <c r="J47">
        <v>0</v>
      </c>
      <c r="K47">
        <v>470</v>
      </c>
      <c r="L47">
        <v>348</v>
      </c>
      <c r="M47">
        <v>122</v>
      </c>
      <c r="N47">
        <v>122</v>
      </c>
      <c r="O47">
        <v>0</v>
      </c>
      <c r="P47">
        <v>3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122</v>
      </c>
      <c r="Z47">
        <v>0</v>
      </c>
      <c r="AA47">
        <v>0</v>
      </c>
      <c r="AB47">
        <v>122</v>
      </c>
      <c r="AC47">
        <v>7</v>
      </c>
      <c r="AD47">
        <v>115</v>
      </c>
      <c r="AE47">
        <v>2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1</v>
      </c>
      <c r="AM47">
        <v>0</v>
      </c>
      <c r="AN47">
        <v>0</v>
      </c>
      <c r="AO47">
        <v>1</v>
      </c>
      <c r="AP47">
        <v>2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4</v>
      </c>
      <c r="BD47">
        <v>1</v>
      </c>
      <c r="BE47">
        <v>0</v>
      </c>
      <c r="BF47">
        <v>1</v>
      </c>
      <c r="BG47">
        <v>0</v>
      </c>
      <c r="BH47">
        <v>2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4</v>
      </c>
      <c r="BO47">
        <v>25</v>
      </c>
      <c r="BP47">
        <v>9</v>
      </c>
      <c r="BQ47">
        <v>6</v>
      </c>
      <c r="BR47">
        <v>7</v>
      </c>
      <c r="BS47">
        <v>3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25</v>
      </c>
      <c r="CA47">
        <v>3</v>
      </c>
      <c r="CB47">
        <v>0</v>
      </c>
      <c r="CC47">
        <v>2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1</v>
      </c>
      <c r="CL47">
        <v>3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9</v>
      </c>
      <c r="DL47">
        <v>1</v>
      </c>
      <c r="DM47">
        <v>0</v>
      </c>
      <c r="DN47">
        <v>1</v>
      </c>
      <c r="DO47">
        <v>0</v>
      </c>
      <c r="DP47">
        <v>5</v>
      </c>
      <c r="DQ47">
        <v>0</v>
      </c>
      <c r="DR47">
        <v>0</v>
      </c>
      <c r="DS47">
        <v>0</v>
      </c>
      <c r="DT47">
        <v>0</v>
      </c>
      <c r="DU47">
        <v>2</v>
      </c>
      <c r="DV47">
        <v>9</v>
      </c>
      <c r="DW47">
        <v>72</v>
      </c>
      <c r="DX47">
        <v>27</v>
      </c>
      <c r="DY47">
        <v>2</v>
      </c>
      <c r="DZ47">
        <v>0</v>
      </c>
      <c r="EA47">
        <v>41</v>
      </c>
      <c r="EB47">
        <v>1</v>
      </c>
      <c r="EC47">
        <v>0</v>
      </c>
      <c r="ED47">
        <v>0</v>
      </c>
      <c r="EE47">
        <v>0</v>
      </c>
      <c r="EF47">
        <v>0</v>
      </c>
      <c r="EG47">
        <v>1</v>
      </c>
      <c r="EH47">
        <v>72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</row>
    <row r="48" spans="1:150" ht="12.75">
      <c r="A48">
        <v>43</v>
      </c>
      <c r="B48" t="str">
        <f>"060307"</f>
        <v>060307</v>
      </c>
      <c r="C48" t="str">
        <f>"Leśniowice"</f>
        <v>Leśniowice</v>
      </c>
      <c r="D48" t="str">
        <f t="shared" si="6"/>
        <v>chełmski</v>
      </c>
      <c r="E48" t="str">
        <f t="shared" si="1"/>
        <v>lubelskie</v>
      </c>
      <c r="F48">
        <v>4</v>
      </c>
      <c r="G48" t="str">
        <f>"Publiczne Gimnazjum w Sielcu, Sielec 67A, 22-122 Leśniowice"</f>
        <v>Publiczne Gimnazjum w Sielcu, Sielec 67A, 22-122 Leśniowice</v>
      </c>
      <c r="H48">
        <v>654</v>
      </c>
      <c r="I48">
        <v>654</v>
      </c>
      <c r="J48">
        <v>0</v>
      </c>
      <c r="K48">
        <v>460</v>
      </c>
      <c r="L48">
        <v>329</v>
      </c>
      <c r="M48">
        <v>131</v>
      </c>
      <c r="N48">
        <v>131</v>
      </c>
      <c r="O48">
        <v>0</v>
      </c>
      <c r="P48">
        <v>2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131</v>
      </c>
      <c r="Z48">
        <v>0</v>
      </c>
      <c r="AA48">
        <v>0</v>
      </c>
      <c r="AB48">
        <v>131</v>
      </c>
      <c r="AC48">
        <v>5</v>
      </c>
      <c r="AD48">
        <v>126</v>
      </c>
      <c r="AE48">
        <v>3</v>
      </c>
      <c r="AF48">
        <v>1</v>
      </c>
      <c r="AG48">
        <v>0</v>
      </c>
      <c r="AH48">
        <v>1</v>
      </c>
      <c r="AI48">
        <v>0</v>
      </c>
      <c r="AJ48">
        <v>0</v>
      </c>
      <c r="AK48">
        <v>1</v>
      </c>
      <c r="AL48">
        <v>0</v>
      </c>
      <c r="AM48">
        <v>0</v>
      </c>
      <c r="AN48">
        <v>0</v>
      </c>
      <c r="AO48">
        <v>0</v>
      </c>
      <c r="AP48">
        <v>3</v>
      </c>
      <c r="AQ48">
        <v>2</v>
      </c>
      <c r="AR48">
        <v>1</v>
      </c>
      <c r="AS48">
        <v>1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2</v>
      </c>
      <c r="BC48">
        <v>2</v>
      </c>
      <c r="BD48">
        <v>0</v>
      </c>
      <c r="BE48">
        <v>0</v>
      </c>
      <c r="BF48">
        <v>1</v>
      </c>
      <c r="BG48">
        <v>0</v>
      </c>
      <c r="BH48">
        <v>1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25</v>
      </c>
      <c r="BP48">
        <v>3</v>
      </c>
      <c r="BQ48">
        <v>4</v>
      </c>
      <c r="BR48">
        <v>2</v>
      </c>
      <c r="BS48">
        <v>12</v>
      </c>
      <c r="BT48">
        <v>0</v>
      </c>
      <c r="BU48">
        <v>0</v>
      </c>
      <c r="BV48">
        <v>0</v>
      </c>
      <c r="BW48">
        <v>1</v>
      </c>
      <c r="BX48">
        <v>0</v>
      </c>
      <c r="BY48">
        <v>3</v>
      </c>
      <c r="BZ48">
        <v>25</v>
      </c>
      <c r="CA48">
        <v>1</v>
      </c>
      <c r="CB48">
        <v>1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1</v>
      </c>
      <c r="CM48">
        <v>2</v>
      </c>
      <c r="CN48">
        <v>2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2</v>
      </c>
      <c r="CY48">
        <v>8</v>
      </c>
      <c r="CZ48">
        <v>7</v>
      </c>
      <c r="DA48">
        <v>0</v>
      </c>
      <c r="DB48">
        <v>0</v>
      </c>
      <c r="DC48">
        <v>0</v>
      </c>
      <c r="DD48">
        <v>1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8</v>
      </c>
      <c r="DK48">
        <v>16</v>
      </c>
      <c r="DL48">
        <v>3</v>
      </c>
      <c r="DM48">
        <v>0</v>
      </c>
      <c r="DN48">
        <v>0</v>
      </c>
      <c r="DO48">
        <v>0</v>
      </c>
      <c r="DP48">
        <v>10</v>
      </c>
      <c r="DQ48">
        <v>0</v>
      </c>
      <c r="DR48">
        <v>0</v>
      </c>
      <c r="DS48">
        <v>0</v>
      </c>
      <c r="DT48">
        <v>3</v>
      </c>
      <c r="DU48">
        <v>0</v>
      </c>
      <c r="DV48">
        <v>16</v>
      </c>
      <c r="DW48">
        <v>67</v>
      </c>
      <c r="DX48">
        <v>18</v>
      </c>
      <c r="DY48">
        <v>7</v>
      </c>
      <c r="DZ48">
        <v>0</v>
      </c>
      <c r="EA48">
        <v>40</v>
      </c>
      <c r="EB48">
        <v>0</v>
      </c>
      <c r="EC48">
        <v>0</v>
      </c>
      <c r="ED48">
        <v>0</v>
      </c>
      <c r="EE48">
        <v>0</v>
      </c>
      <c r="EF48">
        <v>2</v>
      </c>
      <c r="EG48">
        <v>0</v>
      </c>
      <c r="EH48">
        <v>67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</row>
    <row r="49" spans="1:150" ht="12.75">
      <c r="A49">
        <v>44</v>
      </c>
      <c r="B49" t="str">
        <f>"060307"</f>
        <v>060307</v>
      </c>
      <c r="C49" t="str">
        <f>"Leśniowice"</f>
        <v>Leśniowice</v>
      </c>
      <c r="D49" t="str">
        <f t="shared" si="6"/>
        <v>chełmski</v>
      </c>
      <c r="E49" t="str">
        <f t="shared" si="1"/>
        <v>lubelskie</v>
      </c>
      <c r="F49">
        <v>5</v>
      </c>
      <c r="G49" t="str">
        <f>"Budynek po byłej szkole w Kumowie Plebańskim, Kumów Plebański 1, 22-122 Leśniowice"</f>
        <v>Budynek po byłej szkole w Kumowie Plebańskim, Kumów Plebański 1, 22-122 Leśniowice</v>
      </c>
      <c r="H49">
        <v>413</v>
      </c>
      <c r="I49">
        <v>413</v>
      </c>
      <c r="J49">
        <v>0</v>
      </c>
      <c r="K49">
        <v>290</v>
      </c>
      <c r="L49">
        <v>175</v>
      </c>
      <c r="M49">
        <v>115</v>
      </c>
      <c r="N49">
        <v>115</v>
      </c>
      <c r="O49">
        <v>0</v>
      </c>
      <c r="P49">
        <v>2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115</v>
      </c>
      <c r="Z49">
        <v>0</v>
      </c>
      <c r="AA49">
        <v>0</v>
      </c>
      <c r="AB49">
        <v>115</v>
      </c>
      <c r="AC49">
        <v>5</v>
      </c>
      <c r="AD49">
        <v>110</v>
      </c>
      <c r="AE49">
        <v>5</v>
      </c>
      <c r="AF49">
        <v>2</v>
      </c>
      <c r="AG49">
        <v>0</v>
      </c>
      <c r="AH49">
        <v>1</v>
      </c>
      <c r="AI49">
        <v>2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5</v>
      </c>
      <c r="AQ49">
        <v>2</v>
      </c>
      <c r="AR49">
        <v>1</v>
      </c>
      <c r="AS49">
        <v>1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2</v>
      </c>
      <c r="BC49">
        <v>3</v>
      </c>
      <c r="BD49">
        <v>1</v>
      </c>
      <c r="BE49">
        <v>0</v>
      </c>
      <c r="BF49">
        <v>1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1</v>
      </c>
      <c r="BM49">
        <v>0</v>
      </c>
      <c r="BN49">
        <v>3</v>
      </c>
      <c r="BO49">
        <v>38</v>
      </c>
      <c r="BP49">
        <v>10</v>
      </c>
      <c r="BQ49">
        <v>11</v>
      </c>
      <c r="BR49">
        <v>0</v>
      </c>
      <c r="BS49">
        <v>11</v>
      </c>
      <c r="BT49">
        <v>0</v>
      </c>
      <c r="BU49">
        <v>0</v>
      </c>
      <c r="BV49">
        <v>1</v>
      </c>
      <c r="BW49">
        <v>4</v>
      </c>
      <c r="BX49">
        <v>1</v>
      </c>
      <c r="BY49">
        <v>0</v>
      </c>
      <c r="BZ49">
        <v>38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1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1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3</v>
      </c>
      <c r="CZ49">
        <v>2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1</v>
      </c>
      <c r="DJ49">
        <v>3</v>
      </c>
      <c r="DK49">
        <v>5</v>
      </c>
      <c r="DL49">
        <v>0</v>
      </c>
      <c r="DM49">
        <v>0</v>
      </c>
      <c r="DN49">
        <v>0</v>
      </c>
      <c r="DO49">
        <v>2</v>
      </c>
      <c r="DP49">
        <v>3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5</v>
      </c>
      <c r="DW49">
        <v>53</v>
      </c>
      <c r="DX49">
        <v>12</v>
      </c>
      <c r="DY49">
        <v>5</v>
      </c>
      <c r="DZ49">
        <v>0</v>
      </c>
      <c r="EA49">
        <v>35</v>
      </c>
      <c r="EB49">
        <v>0</v>
      </c>
      <c r="EC49">
        <v>0</v>
      </c>
      <c r="ED49">
        <v>1</v>
      </c>
      <c r="EE49">
        <v>0</v>
      </c>
      <c r="EF49">
        <v>0</v>
      </c>
      <c r="EG49">
        <v>0</v>
      </c>
      <c r="EH49">
        <v>53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</row>
    <row r="50" spans="1:150" ht="12.75">
      <c r="A50">
        <v>45</v>
      </c>
      <c r="B50" t="str">
        <f>"060308"</f>
        <v>060308</v>
      </c>
      <c r="C50" t="str">
        <f>"Rejowiec Fabryczny"</f>
        <v>Rejowiec Fabryczny</v>
      </c>
      <c r="D50" t="str">
        <f t="shared" si="6"/>
        <v>chełmski</v>
      </c>
      <c r="E50" t="str">
        <f t="shared" si="1"/>
        <v>lubelskie</v>
      </c>
      <c r="F50">
        <v>1</v>
      </c>
      <c r="G50" t="str">
        <f>"Świetlica Wiejska, Kanie 119f, 22-170 Rejowiec Fabryczny"</f>
        <v>Świetlica Wiejska, Kanie 119f, 22-170 Rejowiec Fabryczny</v>
      </c>
      <c r="H50">
        <v>969</v>
      </c>
      <c r="I50">
        <v>969</v>
      </c>
      <c r="J50">
        <v>0</v>
      </c>
      <c r="K50">
        <v>680</v>
      </c>
      <c r="L50">
        <v>521</v>
      </c>
      <c r="M50">
        <v>159</v>
      </c>
      <c r="N50">
        <v>159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159</v>
      </c>
      <c r="Z50">
        <v>0</v>
      </c>
      <c r="AA50">
        <v>0</v>
      </c>
      <c r="AB50">
        <v>159</v>
      </c>
      <c r="AC50">
        <v>8</v>
      </c>
      <c r="AD50">
        <v>151</v>
      </c>
      <c r="AE50">
        <v>7</v>
      </c>
      <c r="AF50">
        <v>3</v>
      </c>
      <c r="AG50">
        <v>1</v>
      </c>
      <c r="AH50">
        <v>0</v>
      </c>
      <c r="AI50">
        <v>1</v>
      </c>
      <c r="AJ50">
        <v>0</v>
      </c>
      <c r="AK50">
        <v>0</v>
      </c>
      <c r="AL50">
        <v>1</v>
      </c>
      <c r="AM50">
        <v>0</v>
      </c>
      <c r="AN50">
        <v>0</v>
      </c>
      <c r="AO50">
        <v>1</v>
      </c>
      <c r="AP50">
        <v>7</v>
      </c>
      <c r="AQ50">
        <v>2</v>
      </c>
      <c r="AR50">
        <v>1</v>
      </c>
      <c r="AS50">
        <v>1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2</v>
      </c>
      <c r="BC50">
        <v>6</v>
      </c>
      <c r="BD50">
        <v>4</v>
      </c>
      <c r="BE50">
        <v>0</v>
      </c>
      <c r="BF50">
        <v>0</v>
      </c>
      <c r="BG50">
        <v>1</v>
      </c>
      <c r="BH50">
        <v>0</v>
      </c>
      <c r="BI50">
        <v>0</v>
      </c>
      <c r="BJ50">
        <v>0</v>
      </c>
      <c r="BK50">
        <v>0</v>
      </c>
      <c r="BL50">
        <v>1</v>
      </c>
      <c r="BM50">
        <v>0</v>
      </c>
      <c r="BN50">
        <v>6</v>
      </c>
      <c r="BO50">
        <v>55</v>
      </c>
      <c r="BP50">
        <v>2</v>
      </c>
      <c r="BQ50">
        <v>20</v>
      </c>
      <c r="BR50">
        <v>5</v>
      </c>
      <c r="BS50">
        <v>26</v>
      </c>
      <c r="BT50">
        <v>0</v>
      </c>
      <c r="BU50">
        <v>0</v>
      </c>
      <c r="BV50">
        <v>0</v>
      </c>
      <c r="BW50">
        <v>2</v>
      </c>
      <c r="BX50">
        <v>0</v>
      </c>
      <c r="BY50">
        <v>0</v>
      </c>
      <c r="BZ50">
        <v>55</v>
      </c>
      <c r="CA50">
        <v>3</v>
      </c>
      <c r="CB50">
        <v>0</v>
      </c>
      <c r="CC50">
        <v>0</v>
      </c>
      <c r="CD50">
        <v>0</v>
      </c>
      <c r="CE50">
        <v>0</v>
      </c>
      <c r="CF50">
        <v>1</v>
      </c>
      <c r="CG50">
        <v>0</v>
      </c>
      <c r="CH50">
        <v>1</v>
      </c>
      <c r="CI50">
        <v>0</v>
      </c>
      <c r="CJ50">
        <v>1</v>
      </c>
      <c r="CK50">
        <v>0</v>
      </c>
      <c r="CL50">
        <v>3</v>
      </c>
      <c r="CM50">
        <v>3</v>
      </c>
      <c r="CN50">
        <v>0</v>
      </c>
      <c r="CO50">
        <v>1</v>
      </c>
      <c r="CP50">
        <v>0</v>
      </c>
      <c r="CQ50">
        <v>1</v>
      </c>
      <c r="CR50">
        <v>1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3</v>
      </c>
      <c r="CY50">
        <v>4</v>
      </c>
      <c r="CZ50">
        <v>2</v>
      </c>
      <c r="DA50">
        <v>0</v>
      </c>
      <c r="DB50">
        <v>0</v>
      </c>
      <c r="DC50">
        <v>0</v>
      </c>
      <c r="DD50">
        <v>1</v>
      </c>
      <c r="DE50">
        <v>0</v>
      </c>
      <c r="DF50">
        <v>0</v>
      </c>
      <c r="DG50">
        <v>0</v>
      </c>
      <c r="DH50">
        <v>0</v>
      </c>
      <c r="DI50">
        <v>1</v>
      </c>
      <c r="DJ50">
        <v>4</v>
      </c>
      <c r="DK50">
        <v>14</v>
      </c>
      <c r="DL50">
        <v>1</v>
      </c>
      <c r="DM50">
        <v>1</v>
      </c>
      <c r="DN50">
        <v>0</v>
      </c>
      <c r="DO50">
        <v>0</v>
      </c>
      <c r="DP50">
        <v>12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14</v>
      </c>
      <c r="DW50">
        <v>57</v>
      </c>
      <c r="DX50">
        <v>8</v>
      </c>
      <c r="DY50">
        <v>2</v>
      </c>
      <c r="DZ50">
        <v>0</v>
      </c>
      <c r="EA50">
        <v>47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57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</row>
    <row r="51" spans="1:150" ht="12.75">
      <c r="A51">
        <v>46</v>
      </c>
      <c r="B51" t="str">
        <f>"060308"</f>
        <v>060308</v>
      </c>
      <c r="C51" t="str">
        <f>"Rejowiec Fabryczny"</f>
        <v>Rejowiec Fabryczny</v>
      </c>
      <c r="D51" t="str">
        <f t="shared" si="6"/>
        <v>chełmski</v>
      </c>
      <c r="E51" t="str">
        <f t="shared" si="1"/>
        <v>lubelskie</v>
      </c>
      <c r="F51">
        <v>2</v>
      </c>
      <c r="G51" t="str">
        <f>"Szkoła Podstawowa, Krasne 31, 22-170 Rejowiec Fabryczny"</f>
        <v>Szkoła Podstawowa, Krasne 31, 22-170 Rejowiec Fabryczny</v>
      </c>
      <c r="H51">
        <v>567</v>
      </c>
      <c r="I51">
        <v>567</v>
      </c>
      <c r="J51">
        <v>0</v>
      </c>
      <c r="K51">
        <v>399</v>
      </c>
      <c r="L51">
        <v>347</v>
      </c>
      <c r="M51">
        <v>52</v>
      </c>
      <c r="N51">
        <v>52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52</v>
      </c>
      <c r="Z51">
        <v>0</v>
      </c>
      <c r="AA51">
        <v>0</v>
      </c>
      <c r="AB51">
        <v>52</v>
      </c>
      <c r="AC51">
        <v>2</v>
      </c>
      <c r="AD51">
        <v>50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5</v>
      </c>
      <c r="BD51">
        <v>3</v>
      </c>
      <c r="BE51">
        <v>0</v>
      </c>
      <c r="BF51">
        <v>2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5</v>
      </c>
      <c r="BO51">
        <v>9</v>
      </c>
      <c r="BP51">
        <v>4</v>
      </c>
      <c r="BQ51">
        <v>1</v>
      </c>
      <c r="BR51">
        <v>1</v>
      </c>
      <c r="BS51">
        <v>2</v>
      </c>
      <c r="BT51">
        <v>1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9</v>
      </c>
      <c r="CA51">
        <v>1</v>
      </c>
      <c r="CB51">
        <v>1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1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1</v>
      </c>
      <c r="CZ51">
        <v>1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1</v>
      </c>
      <c r="DK51">
        <v>3</v>
      </c>
      <c r="DL51">
        <v>3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3</v>
      </c>
      <c r="DW51">
        <v>31</v>
      </c>
      <c r="DX51">
        <v>0</v>
      </c>
      <c r="DY51">
        <v>0</v>
      </c>
      <c r="DZ51">
        <v>0</v>
      </c>
      <c r="EA51">
        <v>31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31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</row>
    <row r="52" spans="1:150" ht="12.75">
      <c r="A52">
        <v>47</v>
      </c>
      <c r="B52" t="str">
        <f>"060308"</f>
        <v>060308</v>
      </c>
      <c r="C52" t="str">
        <f>"Rejowiec Fabryczny"</f>
        <v>Rejowiec Fabryczny</v>
      </c>
      <c r="D52" t="str">
        <f t="shared" si="6"/>
        <v>chełmski</v>
      </c>
      <c r="E52" t="str">
        <f t="shared" si="1"/>
        <v>lubelskie</v>
      </c>
      <c r="F52">
        <v>3</v>
      </c>
      <c r="G52" t="str">
        <f>"Gminny Ośrodek Kultury, ul. Lubelska 23a, Pawłów, 22-170 Rejowiec Fabryczny"</f>
        <v>Gminny Ośrodek Kultury, ul. Lubelska 23a, Pawłów, 22-170 Rejowiec Fabryczny</v>
      </c>
      <c r="H52">
        <v>807</v>
      </c>
      <c r="I52">
        <v>807</v>
      </c>
      <c r="J52">
        <v>0</v>
      </c>
      <c r="K52">
        <v>563</v>
      </c>
      <c r="L52">
        <v>432</v>
      </c>
      <c r="M52">
        <v>131</v>
      </c>
      <c r="N52">
        <v>131</v>
      </c>
      <c r="O52">
        <v>0</v>
      </c>
      <c r="P52">
        <v>0</v>
      </c>
      <c r="Q52">
        <v>2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131</v>
      </c>
      <c r="Z52">
        <v>0</v>
      </c>
      <c r="AA52">
        <v>0</v>
      </c>
      <c r="AB52">
        <v>131</v>
      </c>
      <c r="AC52">
        <v>3</v>
      </c>
      <c r="AD52">
        <v>128</v>
      </c>
      <c r="AE52">
        <v>2</v>
      </c>
      <c r="AF52">
        <v>0</v>
      </c>
      <c r="AG52">
        <v>1</v>
      </c>
      <c r="AH52">
        <v>0</v>
      </c>
      <c r="AI52">
        <v>0</v>
      </c>
      <c r="AJ52">
        <v>1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2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5</v>
      </c>
      <c r="BD52">
        <v>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5</v>
      </c>
      <c r="BO52">
        <v>34</v>
      </c>
      <c r="BP52">
        <v>6</v>
      </c>
      <c r="BQ52">
        <v>12</v>
      </c>
      <c r="BR52">
        <v>0</v>
      </c>
      <c r="BS52">
        <v>14</v>
      </c>
      <c r="BT52">
        <v>0</v>
      </c>
      <c r="BU52">
        <v>1</v>
      </c>
      <c r="BV52">
        <v>0</v>
      </c>
      <c r="BW52">
        <v>1</v>
      </c>
      <c r="BX52">
        <v>0</v>
      </c>
      <c r="BY52">
        <v>0</v>
      </c>
      <c r="BZ52">
        <v>34</v>
      </c>
      <c r="CA52">
        <v>1</v>
      </c>
      <c r="CB52">
        <v>1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2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2</v>
      </c>
      <c r="DJ52">
        <v>2</v>
      </c>
      <c r="DK52">
        <v>27</v>
      </c>
      <c r="DL52">
        <v>0</v>
      </c>
      <c r="DM52">
        <v>0</v>
      </c>
      <c r="DN52">
        <v>0</v>
      </c>
      <c r="DO52">
        <v>0</v>
      </c>
      <c r="DP52">
        <v>27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27</v>
      </c>
      <c r="DW52">
        <v>57</v>
      </c>
      <c r="DX52">
        <v>9</v>
      </c>
      <c r="DY52">
        <v>1</v>
      </c>
      <c r="DZ52">
        <v>0</v>
      </c>
      <c r="EA52">
        <v>47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57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</row>
    <row r="53" spans="1:150" ht="12.75">
      <c r="A53">
        <v>48</v>
      </c>
      <c r="B53" t="str">
        <f>"060308"</f>
        <v>060308</v>
      </c>
      <c r="C53" t="str">
        <f>"Rejowiec Fabryczny"</f>
        <v>Rejowiec Fabryczny</v>
      </c>
      <c r="D53" t="str">
        <f t="shared" si="6"/>
        <v>chełmski</v>
      </c>
      <c r="E53" t="str">
        <f t="shared" si="1"/>
        <v>lubelskie</v>
      </c>
      <c r="F53">
        <v>4</v>
      </c>
      <c r="G53" t="str">
        <f>"Zespół Szkół w Lisznie, Liszno 52, 22-170 Rejowiec Fabryczny"</f>
        <v>Zespół Szkół w Lisznie, Liszno 52, 22-170 Rejowiec Fabryczny</v>
      </c>
      <c r="H53">
        <v>1238</v>
      </c>
      <c r="I53">
        <v>1238</v>
      </c>
      <c r="J53">
        <v>0</v>
      </c>
      <c r="K53">
        <v>860</v>
      </c>
      <c r="L53">
        <v>646</v>
      </c>
      <c r="M53">
        <v>214</v>
      </c>
      <c r="N53">
        <v>214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214</v>
      </c>
      <c r="Z53">
        <v>0</v>
      </c>
      <c r="AA53">
        <v>0</v>
      </c>
      <c r="AB53">
        <v>214</v>
      </c>
      <c r="AC53">
        <v>13</v>
      </c>
      <c r="AD53">
        <v>201</v>
      </c>
      <c r="AE53">
        <v>7</v>
      </c>
      <c r="AF53">
        <v>4</v>
      </c>
      <c r="AG53">
        <v>1</v>
      </c>
      <c r="AH53">
        <v>1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1</v>
      </c>
      <c r="AP53">
        <v>7</v>
      </c>
      <c r="AQ53">
        <v>1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1</v>
      </c>
      <c r="BA53">
        <v>0</v>
      </c>
      <c r="BB53">
        <v>1</v>
      </c>
      <c r="BC53">
        <v>25</v>
      </c>
      <c r="BD53">
        <v>23</v>
      </c>
      <c r="BE53">
        <v>0</v>
      </c>
      <c r="BF53">
        <v>1</v>
      </c>
      <c r="BG53">
        <v>0</v>
      </c>
      <c r="BH53">
        <v>1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25</v>
      </c>
      <c r="BO53">
        <v>64</v>
      </c>
      <c r="BP53">
        <v>21</v>
      </c>
      <c r="BQ53">
        <v>26</v>
      </c>
      <c r="BR53">
        <v>0</v>
      </c>
      <c r="BS53">
        <v>11</v>
      </c>
      <c r="BT53">
        <v>0</v>
      </c>
      <c r="BU53">
        <v>3</v>
      </c>
      <c r="BV53">
        <v>0</v>
      </c>
      <c r="BW53">
        <v>2</v>
      </c>
      <c r="BX53">
        <v>1</v>
      </c>
      <c r="BY53">
        <v>0</v>
      </c>
      <c r="BZ53">
        <v>64</v>
      </c>
      <c r="CA53">
        <v>2</v>
      </c>
      <c r="CB53">
        <v>1</v>
      </c>
      <c r="CC53">
        <v>0</v>
      </c>
      <c r="CD53">
        <v>0</v>
      </c>
      <c r="CE53">
        <v>0</v>
      </c>
      <c r="CF53">
        <v>1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2</v>
      </c>
      <c r="CM53">
        <v>4</v>
      </c>
      <c r="CN53">
        <v>3</v>
      </c>
      <c r="CO53">
        <v>0</v>
      </c>
      <c r="CP53">
        <v>0</v>
      </c>
      <c r="CQ53">
        <v>0</v>
      </c>
      <c r="CR53">
        <v>0</v>
      </c>
      <c r="CS53">
        <v>1</v>
      </c>
      <c r="CT53">
        <v>0</v>
      </c>
      <c r="CU53">
        <v>0</v>
      </c>
      <c r="CV53">
        <v>0</v>
      </c>
      <c r="CW53">
        <v>0</v>
      </c>
      <c r="CX53">
        <v>4</v>
      </c>
      <c r="CY53">
        <v>13</v>
      </c>
      <c r="CZ53">
        <v>7</v>
      </c>
      <c r="DA53">
        <v>2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4</v>
      </c>
      <c r="DJ53">
        <v>13</v>
      </c>
      <c r="DK53">
        <v>22</v>
      </c>
      <c r="DL53">
        <v>5</v>
      </c>
      <c r="DM53">
        <v>2</v>
      </c>
      <c r="DN53">
        <v>1</v>
      </c>
      <c r="DO53">
        <v>0</v>
      </c>
      <c r="DP53">
        <v>14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22</v>
      </c>
      <c r="DW53">
        <v>63</v>
      </c>
      <c r="DX53">
        <v>0</v>
      </c>
      <c r="DY53">
        <v>2</v>
      </c>
      <c r="DZ53">
        <v>0</v>
      </c>
      <c r="EA53">
        <v>60</v>
      </c>
      <c r="EB53">
        <v>0</v>
      </c>
      <c r="EC53">
        <v>0</v>
      </c>
      <c r="ED53">
        <v>0</v>
      </c>
      <c r="EE53">
        <v>1</v>
      </c>
      <c r="EF53">
        <v>0</v>
      </c>
      <c r="EG53">
        <v>0</v>
      </c>
      <c r="EH53">
        <v>63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</row>
    <row r="54" spans="1:150" ht="12.75">
      <c r="A54">
        <v>49</v>
      </c>
      <c r="B54" t="str">
        <f>"060309"</f>
        <v>060309</v>
      </c>
      <c r="C54" t="str">
        <f>"Ruda-Huta"</f>
        <v>Ruda-Huta</v>
      </c>
      <c r="D54" t="str">
        <f t="shared" si="6"/>
        <v>chełmski</v>
      </c>
      <c r="E54" t="str">
        <f t="shared" si="1"/>
        <v>lubelskie</v>
      </c>
      <c r="F54">
        <v>1</v>
      </c>
      <c r="G54" t="str">
        <f>"Gminny Ośrodek Kultury, Ruda-Kolonia 28a, 22-110 Ruda-Huta"</f>
        <v>Gminny Ośrodek Kultury, Ruda-Kolonia 28a, 22-110 Ruda-Huta</v>
      </c>
      <c r="H54">
        <v>620</v>
      </c>
      <c r="I54">
        <v>620</v>
      </c>
      <c r="J54">
        <v>0</v>
      </c>
      <c r="K54">
        <v>440</v>
      </c>
      <c r="L54">
        <v>301</v>
      </c>
      <c r="M54">
        <v>139</v>
      </c>
      <c r="N54">
        <v>139</v>
      </c>
      <c r="O54">
        <v>0</v>
      </c>
      <c r="P54">
        <v>2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139</v>
      </c>
      <c r="Z54">
        <v>0</v>
      </c>
      <c r="AA54">
        <v>0</v>
      </c>
      <c r="AB54">
        <v>139</v>
      </c>
      <c r="AC54">
        <v>4</v>
      </c>
      <c r="AD54">
        <v>135</v>
      </c>
      <c r="AE54">
        <v>2</v>
      </c>
      <c r="AF54">
        <v>0</v>
      </c>
      <c r="AG54">
        <v>0</v>
      </c>
      <c r="AH54">
        <v>1</v>
      </c>
      <c r="AI54">
        <v>1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2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2</v>
      </c>
      <c r="BD54">
        <v>2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2</v>
      </c>
      <c r="BO54">
        <v>16</v>
      </c>
      <c r="BP54">
        <v>2</v>
      </c>
      <c r="BQ54">
        <v>6</v>
      </c>
      <c r="BR54">
        <v>3</v>
      </c>
      <c r="BS54">
        <v>5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16</v>
      </c>
      <c r="CA54">
        <v>1</v>
      </c>
      <c r="CB54">
        <v>1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1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12</v>
      </c>
      <c r="CZ54">
        <v>8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4</v>
      </c>
      <c r="DJ54">
        <v>12</v>
      </c>
      <c r="DK54">
        <v>10</v>
      </c>
      <c r="DL54">
        <v>1</v>
      </c>
      <c r="DM54">
        <v>0</v>
      </c>
      <c r="DN54">
        <v>0</v>
      </c>
      <c r="DO54">
        <v>0</v>
      </c>
      <c r="DP54">
        <v>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10</v>
      </c>
      <c r="DW54">
        <v>91</v>
      </c>
      <c r="DX54">
        <v>3</v>
      </c>
      <c r="DY54">
        <v>3</v>
      </c>
      <c r="DZ54">
        <v>0</v>
      </c>
      <c r="EA54">
        <v>85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91</v>
      </c>
      <c r="EI54">
        <v>1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1</v>
      </c>
      <c r="ET54">
        <v>1</v>
      </c>
    </row>
    <row r="55" spans="1:150" ht="12.75">
      <c r="A55">
        <v>50</v>
      </c>
      <c r="B55" t="str">
        <f>"060309"</f>
        <v>060309</v>
      </c>
      <c r="C55" t="str">
        <f>"Ruda-Huta"</f>
        <v>Ruda-Huta</v>
      </c>
      <c r="D55" t="str">
        <f t="shared" si="6"/>
        <v>chełmski</v>
      </c>
      <c r="E55" t="str">
        <f t="shared" si="1"/>
        <v>lubelskie</v>
      </c>
      <c r="F55">
        <v>2</v>
      </c>
      <c r="G55" t="str">
        <f>"Zespół Szkół w Rudzie - Hucie, ul. Stanisława Wójtowicza 9, 22-110 Ruda-Huta"</f>
        <v>Zespół Szkół w Rudzie - Hucie, ul. Stanisława Wójtowicza 9, 22-110 Ruda-Huta</v>
      </c>
      <c r="H55">
        <v>1781</v>
      </c>
      <c r="I55">
        <v>1781</v>
      </c>
      <c r="J55">
        <v>0</v>
      </c>
      <c r="K55">
        <v>1250</v>
      </c>
      <c r="L55">
        <v>844</v>
      </c>
      <c r="M55">
        <v>406</v>
      </c>
      <c r="N55">
        <v>406</v>
      </c>
      <c r="O55">
        <v>0</v>
      </c>
      <c r="P55">
        <v>1</v>
      </c>
      <c r="Q55">
        <v>2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406</v>
      </c>
      <c r="Z55">
        <v>0</v>
      </c>
      <c r="AA55">
        <v>0</v>
      </c>
      <c r="AB55">
        <v>406</v>
      </c>
      <c r="AC55">
        <v>28</v>
      </c>
      <c r="AD55">
        <v>378</v>
      </c>
      <c r="AE55">
        <v>5</v>
      </c>
      <c r="AF55">
        <v>4</v>
      </c>
      <c r="AG55">
        <v>1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5</v>
      </c>
      <c r="AQ55">
        <v>5</v>
      </c>
      <c r="AR55">
        <v>4</v>
      </c>
      <c r="AS55">
        <v>0</v>
      </c>
      <c r="AT55">
        <v>0</v>
      </c>
      <c r="AU55">
        <v>1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5</v>
      </c>
      <c r="BC55">
        <v>5</v>
      </c>
      <c r="BD55">
        <v>4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5</v>
      </c>
      <c r="BO55">
        <v>103</v>
      </c>
      <c r="BP55">
        <v>31</v>
      </c>
      <c r="BQ55">
        <v>31</v>
      </c>
      <c r="BR55">
        <v>6</v>
      </c>
      <c r="BS55">
        <v>26</v>
      </c>
      <c r="BT55">
        <v>0</v>
      </c>
      <c r="BU55">
        <v>1</v>
      </c>
      <c r="BV55">
        <v>0</v>
      </c>
      <c r="BW55">
        <v>4</v>
      </c>
      <c r="BX55">
        <v>1</v>
      </c>
      <c r="BY55">
        <v>3</v>
      </c>
      <c r="BZ55">
        <v>103</v>
      </c>
      <c r="CA55">
        <v>5</v>
      </c>
      <c r="CB55">
        <v>3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2</v>
      </c>
      <c r="CL55">
        <v>5</v>
      </c>
      <c r="CM55">
        <v>2</v>
      </c>
      <c r="CN55">
        <v>1</v>
      </c>
      <c r="CO55">
        <v>0</v>
      </c>
      <c r="CP55">
        <v>0</v>
      </c>
      <c r="CQ55">
        <v>0</v>
      </c>
      <c r="CR55">
        <v>1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2</v>
      </c>
      <c r="CY55">
        <v>20</v>
      </c>
      <c r="CZ55">
        <v>11</v>
      </c>
      <c r="DA55">
        <v>1</v>
      </c>
      <c r="DB55">
        <v>1</v>
      </c>
      <c r="DC55">
        <v>0</v>
      </c>
      <c r="DD55">
        <v>0</v>
      </c>
      <c r="DE55">
        <v>1</v>
      </c>
      <c r="DF55">
        <v>0</v>
      </c>
      <c r="DG55">
        <v>0</v>
      </c>
      <c r="DH55">
        <v>0</v>
      </c>
      <c r="DI55">
        <v>6</v>
      </c>
      <c r="DJ55">
        <v>20</v>
      </c>
      <c r="DK55">
        <v>32</v>
      </c>
      <c r="DL55">
        <v>6</v>
      </c>
      <c r="DM55">
        <v>1</v>
      </c>
      <c r="DN55">
        <v>0</v>
      </c>
      <c r="DO55">
        <v>0</v>
      </c>
      <c r="DP55">
        <v>25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32</v>
      </c>
      <c r="DW55">
        <v>200</v>
      </c>
      <c r="DX55">
        <v>5</v>
      </c>
      <c r="DY55">
        <v>15</v>
      </c>
      <c r="DZ55">
        <v>1</v>
      </c>
      <c r="EA55">
        <v>179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200</v>
      </c>
      <c r="EI55">
        <v>1</v>
      </c>
      <c r="EJ55">
        <v>0</v>
      </c>
      <c r="EK55">
        <v>0</v>
      </c>
      <c r="EL55">
        <v>0</v>
      </c>
      <c r="EM55">
        <v>1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1</v>
      </c>
    </row>
    <row r="56" spans="1:150" ht="12.75">
      <c r="A56">
        <v>51</v>
      </c>
      <c r="B56" t="str">
        <f>"060309"</f>
        <v>060309</v>
      </c>
      <c r="C56" t="str">
        <f>"Ruda-Huta"</f>
        <v>Ruda-Huta</v>
      </c>
      <c r="D56" t="str">
        <f t="shared" si="6"/>
        <v>chełmski</v>
      </c>
      <c r="E56" t="str">
        <f t="shared" si="1"/>
        <v>lubelskie</v>
      </c>
      <c r="F56">
        <v>3</v>
      </c>
      <c r="G56" t="str">
        <f>"Budynek byłej Szkoły Podstawowej, Leśniczówka 14, 22-110 Ruda-Huta"</f>
        <v>Budynek byłej Szkoły Podstawowej, Leśniczówka 14, 22-110 Ruda-Huta</v>
      </c>
      <c r="H56">
        <v>620</v>
      </c>
      <c r="I56">
        <v>620</v>
      </c>
      <c r="J56">
        <v>0</v>
      </c>
      <c r="K56">
        <v>440</v>
      </c>
      <c r="L56">
        <v>333</v>
      </c>
      <c r="M56">
        <v>107</v>
      </c>
      <c r="N56">
        <v>107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107</v>
      </c>
      <c r="Z56">
        <v>0</v>
      </c>
      <c r="AA56">
        <v>0</v>
      </c>
      <c r="AB56">
        <v>107</v>
      </c>
      <c r="AC56">
        <v>5</v>
      </c>
      <c r="AD56">
        <v>102</v>
      </c>
      <c r="AE56">
        <v>5</v>
      </c>
      <c r="AF56">
        <v>2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1</v>
      </c>
      <c r="AM56">
        <v>0</v>
      </c>
      <c r="AN56">
        <v>0</v>
      </c>
      <c r="AO56">
        <v>2</v>
      </c>
      <c r="AP56">
        <v>5</v>
      </c>
      <c r="AQ56">
        <v>1</v>
      </c>
      <c r="AR56">
        <v>1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1</v>
      </c>
      <c r="BC56">
        <v>2</v>
      </c>
      <c r="BD56">
        <v>1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1</v>
      </c>
      <c r="BN56">
        <v>2</v>
      </c>
      <c r="BO56">
        <v>6</v>
      </c>
      <c r="BP56">
        <v>2</v>
      </c>
      <c r="BQ56">
        <v>3</v>
      </c>
      <c r="BR56">
        <v>0</v>
      </c>
      <c r="BS56">
        <v>1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6</v>
      </c>
      <c r="CA56">
        <v>1</v>
      </c>
      <c r="CB56">
        <v>0</v>
      </c>
      <c r="CC56">
        <v>1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1</v>
      </c>
      <c r="CM56">
        <v>2</v>
      </c>
      <c r="CN56">
        <v>2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2</v>
      </c>
      <c r="CY56">
        <v>8</v>
      </c>
      <c r="CZ56">
        <v>5</v>
      </c>
      <c r="DA56">
        <v>1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2</v>
      </c>
      <c r="DJ56">
        <v>8</v>
      </c>
      <c r="DK56">
        <v>11</v>
      </c>
      <c r="DL56">
        <v>0</v>
      </c>
      <c r="DM56">
        <v>3</v>
      </c>
      <c r="DN56">
        <v>1</v>
      </c>
      <c r="DO56">
        <v>0</v>
      </c>
      <c r="DP56">
        <v>7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11</v>
      </c>
      <c r="DW56">
        <v>66</v>
      </c>
      <c r="DX56">
        <v>1</v>
      </c>
      <c r="DY56">
        <v>1</v>
      </c>
      <c r="DZ56">
        <v>0</v>
      </c>
      <c r="EA56">
        <v>64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66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</row>
    <row r="57" spans="1:150" ht="12.75">
      <c r="A57">
        <v>52</v>
      </c>
      <c r="B57" t="str">
        <f>"060309"</f>
        <v>060309</v>
      </c>
      <c r="C57" t="str">
        <f>"Ruda-Huta"</f>
        <v>Ruda-Huta</v>
      </c>
      <c r="D57" t="str">
        <f t="shared" si="6"/>
        <v>chełmski</v>
      </c>
      <c r="E57" t="str">
        <f t="shared" si="1"/>
        <v>lubelskie</v>
      </c>
      <c r="F57">
        <v>4</v>
      </c>
      <c r="G57" t="str">
        <f>"Świetlica Wiejska, Żalin 76a, 22-110 Ruda-Huta"</f>
        <v>Świetlica Wiejska, Żalin 76a, 22-110 Ruda-Huta</v>
      </c>
      <c r="H57">
        <v>494</v>
      </c>
      <c r="I57">
        <v>494</v>
      </c>
      <c r="J57">
        <v>0</v>
      </c>
      <c r="K57">
        <v>350</v>
      </c>
      <c r="L57">
        <v>224</v>
      </c>
      <c r="M57">
        <v>126</v>
      </c>
      <c r="N57">
        <v>126</v>
      </c>
      <c r="O57">
        <v>0</v>
      </c>
      <c r="P57">
        <v>0</v>
      </c>
      <c r="Q57">
        <v>1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126</v>
      </c>
      <c r="Z57">
        <v>0</v>
      </c>
      <c r="AA57">
        <v>0</v>
      </c>
      <c r="AB57">
        <v>126</v>
      </c>
      <c r="AC57">
        <v>6</v>
      </c>
      <c r="AD57">
        <v>120</v>
      </c>
      <c r="AE57">
        <v>2</v>
      </c>
      <c r="AF57">
        <v>0</v>
      </c>
      <c r="AG57">
        <v>0</v>
      </c>
      <c r="AH57">
        <v>1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1</v>
      </c>
      <c r="AP57">
        <v>2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4</v>
      </c>
      <c r="BD57">
        <v>3</v>
      </c>
      <c r="BE57">
        <v>0</v>
      </c>
      <c r="BF57">
        <v>0</v>
      </c>
      <c r="BG57">
        <v>0</v>
      </c>
      <c r="BH57">
        <v>1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4</v>
      </c>
      <c r="BO57">
        <v>21</v>
      </c>
      <c r="BP57">
        <v>6</v>
      </c>
      <c r="BQ57">
        <v>6</v>
      </c>
      <c r="BR57">
        <v>2</v>
      </c>
      <c r="BS57">
        <v>7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21</v>
      </c>
      <c r="CA57">
        <v>2</v>
      </c>
      <c r="CB57">
        <v>2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2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3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3</v>
      </c>
      <c r="DJ57">
        <v>3</v>
      </c>
      <c r="DK57">
        <v>7</v>
      </c>
      <c r="DL57">
        <v>0</v>
      </c>
      <c r="DM57">
        <v>2</v>
      </c>
      <c r="DN57">
        <v>0</v>
      </c>
      <c r="DO57">
        <v>0</v>
      </c>
      <c r="DP57">
        <v>5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7</v>
      </c>
      <c r="DW57">
        <v>81</v>
      </c>
      <c r="DX57">
        <v>1</v>
      </c>
      <c r="DY57">
        <v>1</v>
      </c>
      <c r="DZ57">
        <v>1</v>
      </c>
      <c r="EA57">
        <v>78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81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</row>
    <row r="58" spans="1:150" ht="12.75">
      <c r="A58">
        <v>53</v>
      </c>
      <c r="B58" t="str">
        <f>"060309"</f>
        <v>060309</v>
      </c>
      <c r="C58" t="str">
        <f>"Ruda-Huta"</f>
        <v>Ruda-Huta</v>
      </c>
      <c r="D58" t="str">
        <f t="shared" si="6"/>
        <v>chełmski</v>
      </c>
      <c r="E58" t="str">
        <f t="shared" si="1"/>
        <v>lubelskie</v>
      </c>
      <c r="F58">
        <v>5</v>
      </c>
      <c r="G58" t="str">
        <f>"Centrum Kultury, Rudka 58, 22-110 Ruda-Huta"</f>
        <v>Centrum Kultury, Rudka 58, 22-110 Ruda-Huta</v>
      </c>
      <c r="H58">
        <v>274</v>
      </c>
      <c r="I58">
        <v>274</v>
      </c>
      <c r="J58">
        <v>0</v>
      </c>
      <c r="K58">
        <v>190</v>
      </c>
      <c r="L58">
        <v>140</v>
      </c>
      <c r="M58">
        <v>50</v>
      </c>
      <c r="N58">
        <v>50</v>
      </c>
      <c r="O58">
        <v>0</v>
      </c>
      <c r="P58">
        <v>1</v>
      </c>
      <c r="Q58">
        <v>1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50</v>
      </c>
      <c r="Z58">
        <v>0</v>
      </c>
      <c r="AA58">
        <v>0</v>
      </c>
      <c r="AB58">
        <v>50</v>
      </c>
      <c r="AC58">
        <v>3</v>
      </c>
      <c r="AD58">
        <v>47</v>
      </c>
      <c r="AE58">
        <v>1</v>
      </c>
      <c r="AF58">
        <v>1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1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3</v>
      </c>
      <c r="BD58">
        <v>2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1</v>
      </c>
      <c r="BK58">
        <v>0</v>
      </c>
      <c r="BL58">
        <v>0</v>
      </c>
      <c r="BM58">
        <v>0</v>
      </c>
      <c r="BN58">
        <v>3</v>
      </c>
      <c r="BO58">
        <v>3</v>
      </c>
      <c r="BP58">
        <v>1</v>
      </c>
      <c r="BQ58">
        <v>0</v>
      </c>
      <c r="BR58">
        <v>1</v>
      </c>
      <c r="BS58">
        <v>0</v>
      </c>
      <c r="BT58">
        <v>0</v>
      </c>
      <c r="BU58">
        <v>1</v>
      </c>
      <c r="BV58">
        <v>0</v>
      </c>
      <c r="BW58">
        <v>0</v>
      </c>
      <c r="BX58">
        <v>0</v>
      </c>
      <c r="BY58">
        <v>0</v>
      </c>
      <c r="BZ58">
        <v>3</v>
      </c>
      <c r="CA58">
        <v>5</v>
      </c>
      <c r="CB58">
        <v>3</v>
      </c>
      <c r="CC58">
        <v>1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1</v>
      </c>
      <c r="CJ58">
        <v>0</v>
      </c>
      <c r="CK58">
        <v>0</v>
      </c>
      <c r="CL58">
        <v>5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6</v>
      </c>
      <c r="CZ58">
        <v>5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1</v>
      </c>
      <c r="DJ58">
        <v>6</v>
      </c>
      <c r="DK58">
        <v>8</v>
      </c>
      <c r="DL58">
        <v>3</v>
      </c>
      <c r="DM58">
        <v>0</v>
      </c>
      <c r="DN58">
        <v>0</v>
      </c>
      <c r="DO58">
        <v>1</v>
      </c>
      <c r="DP58">
        <v>4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8</v>
      </c>
      <c r="DW58">
        <v>21</v>
      </c>
      <c r="DX58">
        <v>0</v>
      </c>
      <c r="DY58">
        <v>0</v>
      </c>
      <c r="DZ58">
        <v>1</v>
      </c>
      <c r="EA58">
        <v>20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21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</row>
    <row r="59" spans="1:150" ht="12.75">
      <c r="A59">
        <v>54</v>
      </c>
      <c r="B59" t="str">
        <f aca="true" t="shared" si="7" ref="B59:B64">"060310"</f>
        <v>060310</v>
      </c>
      <c r="C59" t="str">
        <f aca="true" t="shared" si="8" ref="C59:C64">"Sawin"</f>
        <v>Sawin</v>
      </c>
      <c r="D59" t="str">
        <f t="shared" si="6"/>
        <v>chełmski</v>
      </c>
      <c r="E59" t="str">
        <f t="shared" si="1"/>
        <v>lubelskie</v>
      </c>
      <c r="F59">
        <v>1</v>
      </c>
      <c r="G59" t="str">
        <f>"Chutcze - świetlica, Chutcze 36, 22-107 Sawin"</f>
        <v>Chutcze - świetlica, Chutcze 36, 22-107 Sawin</v>
      </c>
      <c r="H59">
        <v>273</v>
      </c>
      <c r="I59">
        <v>273</v>
      </c>
      <c r="J59">
        <v>0</v>
      </c>
      <c r="K59">
        <v>188</v>
      </c>
      <c r="L59">
        <v>146</v>
      </c>
      <c r="M59">
        <v>42</v>
      </c>
      <c r="N59">
        <v>42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42</v>
      </c>
      <c r="Z59">
        <v>0</v>
      </c>
      <c r="AA59">
        <v>0</v>
      </c>
      <c r="AB59">
        <v>42</v>
      </c>
      <c r="AC59">
        <v>3</v>
      </c>
      <c r="AD59">
        <v>39</v>
      </c>
      <c r="AE59">
        <v>1</v>
      </c>
      <c r="AF59">
        <v>1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1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5</v>
      </c>
      <c r="BD59">
        <v>1</v>
      </c>
      <c r="BE59">
        <v>1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1</v>
      </c>
      <c r="BL59">
        <v>2</v>
      </c>
      <c r="BM59">
        <v>0</v>
      </c>
      <c r="BN59">
        <v>5</v>
      </c>
      <c r="BO59">
        <v>12</v>
      </c>
      <c r="BP59">
        <v>2</v>
      </c>
      <c r="BQ59">
        <v>3</v>
      </c>
      <c r="BR59">
        <v>1</v>
      </c>
      <c r="BS59">
        <v>5</v>
      </c>
      <c r="BT59">
        <v>0</v>
      </c>
      <c r="BU59">
        <v>1</v>
      </c>
      <c r="BV59">
        <v>0</v>
      </c>
      <c r="BW59">
        <v>0</v>
      </c>
      <c r="BX59">
        <v>0</v>
      </c>
      <c r="BY59">
        <v>0</v>
      </c>
      <c r="BZ59">
        <v>12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1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1</v>
      </c>
      <c r="DG59">
        <v>0</v>
      </c>
      <c r="DH59">
        <v>0</v>
      </c>
      <c r="DI59">
        <v>0</v>
      </c>
      <c r="DJ59">
        <v>1</v>
      </c>
      <c r="DK59">
        <v>6</v>
      </c>
      <c r="DL59">
        <v>0</v>
      </c>
      <c r="DM59">
        <v>1</v>
      </c>
      <c r="DN59">
        <v>0</v>
      </c>
      <c r="DO59">
        <v>0</v>
      </c>
      <c r="DP59">
        <v>5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6</v>
      </c>
      <c r="DW59">
        <v>14</v>
      </c>
      <c r="DX59">
        <v>2</v>
      </c>
      <c r="DY59">
        <v>2</v>
      </c>
      <c r="DZ59">
        <v>0</v>
      </c>
      <c r="EA59">
        <v>8</v>
      </c>
      <c r="EB59">
        <v>0</v>
      </c>
      <c r="EC59">
        <v>0</v>
      </c>
      <c r="ED59">
        <v>0</v>
      </c>
      <c r="EE59">
        <v>1</v>
      </c>
      <c r="EF59">
        <v>0</v>
      </c>
      <c r="EG59">
        <v>1</v>
      </c>
      <c r="EH59">
        <v>14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</row>
    <row r="60" spans="1:150" ht="12.75">
      <c r="A60">
        <v>55</v>
      </c>
      <c r="B60" t="str">
        <f t="shared" si="7"/>
        <v>060310</v>
      </c>
      <c r="C60" t="str">
        <f t="shared" si="8"/>
        <v>Sawin</v>
      </c>
      <c r="D60" t="str">
        <f t="shared" si="6"/>
        <v>chełmski</v>
      </c>
      <c r="E60" t="str">
        <f t="shared" si="1"/>
        <v>lubelskie</v>
      </c>
      <c r="F60">
        <v>2</v>
      </c>
      <c r="G60" t="str">
        <f>"Łowcza-Kolonia -świetlica, Łowcza-Kolonia 39, 22-107 Sawin"</f>
        <v>Łowcza-Kolonia -świetlica, Łowcza-Kolonia 39, 22-107 Sawin</v>
      </c>
      <c r="H60">
        <v>707</v>
      </c>
      <c r="I60">
        <v>707</v>
      </c>
      <c r="J60">
        <v>0</v>
      </c>
      <c r="K60">
        <v>492</v>
      </c>
      <c r="L60">
        <v>386</v>
      </c>
      <c r="M60">
        <v>106</v>
      </c>
      <c r="N60">
        <v>106</v>
      </c>
      <c r="O60">
        <v>0</v>
      </c>
      <c r="P60">
        <v>0</v>
      </c>
      <c r="Q60">
        <v>4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106</v>
      </c>
      <c r="Z60">
        <v>0</v>
      </c>
      <c r="AA60">
        <v>0</v>
      </c>
      <c r="AB60">
        <v>106</v>
      </c>
      <c r="AC60">
        <v>10</v>
      </c>
      <c r="AD60">
        <v>96</v>
      </c>
      <c r="AE60">
        <v>6</v>
      </c>
      <c r="AF60">
        <v>2</v>
      </c>
      <c r="AG60">
        <v>0</v>
      </c>
      <c r="AH60">
        <v>0</v>
      </c>
      <c r="AI60">
        <v>2</v>
      </c>
      <c r="AJ60">
        <v>0</v>
      </c>
      <c r="AK60">
        <v>0</v>
      </c>
      <c r="AL60">
        <v>2</v>
      </c>
      <c r="AM60">
        <v>0</v>
      </c>
      <c r="AN60">
        <v>0</v>
      </c>
      <c r="AO60">
        <v>0</v>
      </c>
      <c r="AP60">
        <v>6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5</v>
      </c>
      <c r="BD60">
        <v>2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2</v>
      </c>
      <c r="BM60">
        <v>1</v>
      </c>
      <c r="BN60">
        <v>5</v>
      </c>
      <c r="BO60">
        <v>33</v>
      </c>
      <c r="BP60">
        <v>3</v>
      </c>
      <c r="BQ60">
        <v>14</v>
      </c>
      <c r="BR60">
        <v>2</v>
      </c>
      <c r="BS60">
        <v>9</v>
      </c>
      <c r="BT60">
        <v>0</v>
      </c>
      <c r="BU60">
        <v>0</v>
      </c>
      <c r="BV60">
        <v>2</v>
      </c>
      <c r="BW60">
        <v>3</v>
      </c>
      <c r="BX60">
        <v>0</v>
      </c>
      <c r="BY60">
        <v>0</v>
      </c>
      <c r="BZ60">
        <v>33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1</v>
      </c>
      <c r="CN60">
        <v>1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1</v>
      </c>
      <c r="CY60">
        <v>6</v>
      </c>
      <c r="CZ60">
        <v>3</v>
      </c>
      <c r="DA60">
        <v>2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1</v>
      </c>
      <c r="DJ60">
        <v>6</v>
      </c>
      <c r="DK60">
        <v>16</v>
      </c>
      <c r="DL60">
        <v>0</v>
      </c>
      <c r="DM60">
        <v>1</v>
      </c>
      <c r="DN60">
        <v>0</v>
      </c>
      <c r="DO60">
        <v>0</v>
      </c>
      <c r="DP60">
        <v>15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16</v>
      </c>
      <c r="DW60">
        <v>28</v>
      </c>
      <c r="DX60">
        <v>3</v>
      </c>
      <c r="DY60">
        <v>1</v>
      </c>
      <c r="DZ60">
        <v>0</v>
      </c>
      <c r="EA60">
        <v>23</v>
      </c>
      <c r="EB60">
        <v>0</v>
      </c>
      <c r="EC60">
        <v>0</v>
      </c>
      <c r="ED60">
        <v>0</v>
      </c>
      <c r="EE60">
        <v>0</v>
      </c>
      <c r="EF60">
        <v>1</v>
      </c>
      <c r="EG60">
        <v>0</v>
      </c>
      <c r="EH60">
        <v>28</v>
      </c>
      <c r="EI60">
        <v>1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1</v>
      </c>
      <c r="ER60">
        <v>0</v>
      </c>
      <c r="ES60">
        <v>0</v>
      </c>
      <c r="ET60">
        <v>1</v>
      </c>
    </row>
    <row r="61" spans="1:150" ht="12.75">
      <c r="A61">
        <v>56</v>
      </c>
      <c r="B61" t="str">
        <f t="shared" si="7"/>
        <v>060310</v>
      </c>
      <c r="C61" t="str">
        <f t="shared" si="8"/>
        <v>Sawin</v>
      </c>
      <c r="D61" t="str">
        <f t="shared" si="6"/>
        <v>chełmski</v>
      </c>
      <c r="E61" t="str">
        <f t="shared" si="1"/>
        <v>lubelskie</v>
      </c>
      <c r="F61">
        <v>3</v>
      </c>
      <c r="G61" t="str">
        <f>"Bukowa Wielka-Szkoła Podstawowa, Bukowa Wielka 34, 22-107 Sawin"</f>
        <v>Bukowa Wielka-Szkoła Podstawowa, Bukowa Wielka 34, 22-107 Sawin</v>
      </c>
      <c r="H61">
        <v>631</v>
      </c>
      <c r="I61">
        <v>631</v>
      </c>
      <c r="J61">
        <v>0</v>
      </c>
      <c r="K61">
        <v>440</v>
      </c>
      <c r="L61">
        <v>323</v>
      </c>
      <c r="M61">
        <v>117</v>
      </c>
      <c r="N61">
        <v>117</v>
      </c>
      <c r="O61">
        <v>0</v>
      </c>
      <c r="P61">
        <v>0</v>
      </c>
      <c r="Q61">
        <v>1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117</v>
      </c>
      <c r="Z61">
        <v>0</v>
      </c>
      <c r="AA61">
        <v>0</v>
      </c>
      <c r="AB61">
        <v>117</v>
      </c>
      <c r="AC61">
        <v>9</v>
      </c>
      <c r="AD61">
        <v>108</v>
      </c>
      <c r="AE61">
        <v>1</v>
      </c>
      <c r="AF61">
        <v>1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1</v>
      </c>
      <c r="AQ61">
        <v>1</v>
      </c>
      <c r="AR61">
        <v>0</v>
      </c>
      <c r="AS61">
        <v>0</v>
      </c>
      <c r="AT61">
        <v>0</v>
      </c>
      <c r="AU61">
        <v>1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1</v>
      </c>
      <c r="BC61">
        <v>3</v>
      </c>
      <c r="BD61">
        <v>0</v>
      </c>
      <c r="BE61">
        <v>0</v>
      </c>
      <c r="BF61">
        <v>1</v>
      </c>
      <c r="BG61">
        <v>0</v>
      </c>
      <c r="BH61">
        <v>0</v>
      </c>
      <c r="BI61">
        <v>0</v>
      </c>
      <c r="BJ61">
        <v>0</v>
      </c>
      <c r="BK61">
        <v>2</v>
      </c>
      <c r="BL61">
        <v>0</v>
      </c>
      <c r="BM61">
        <v>0</v>
      </c>
      <c r="BN61">
        <v>3</v>
      </c>
      <c r="BO61">
        <v>35</v>
      </c>
      <c r="BP61">
        <v>7</v>
      </c>
      <c r="BQ61">
        <v>14</v>
      </c>
      <c r="BR61">
        <v>1</v>
      </c>
      <c r="BS61">
        <v>13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35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1</v>
      </c>
      <c r="CN61">
        <v>1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1</v>
      </c>
      <c r="CY61">
        <v>14</v>
      </c>
      <c r="CZ61">
        <v>5</v>
      </c>
      <c r="DA61">
        <v>1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1</v>
      </c>
      <c r="DI61">
        <v>7</v>
      </c>
      <c r="DJ61">
        <v>14</v>
      </c>
      <c r="DK61">
        <v>8</v>
      </c>
      <c r="DL61">
        <v>2</v>
      </c>
      <c r="DM61">
        <v>0</v>
      </c>
      <c r="DN61">
        <v>0</v>
      </c>
      <c r="DO61">
        <v>0</v>
      </c>
      <c r="DP61">
        <v>6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8</v>
      </c>
      <c r="DW61">
        <v>44</v>
      </c>
      <c r="DX61">
        <v>3</v>
      </c>
      <c r="DY61">
        <v>1</v>
      </c>
      <c r="DZ61">
        <v>0</v>
      </c>
      <c r="EA61">
        <v>40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44</v>
      </c>
      <c r="EI61">
        <v>1</v>
      </c>
      <c r="EJ61">
        <v>1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1</v>
      </c>
    </row>
    <row r="62" spans="1:150" ht="12.75">
      <c r="A62">
        <v>57</v>
      </c>
      <c r="B62" t="str">
        <f t="shared" si="7"/>
        <v>060310</v>
      </c>
      <c r="C62" t="str">
        <f t="shared" si="8"/>
        <v>Sawin</v>
      </c>
      <c r="D62" t="str">
        <f t="shared" si="6"/>
        <v>chełmski</v>
      </c>
      <c r="E62" t="str">
        <f t="shared" si="1"/>
        <v>lubelskie</v>
      </c>
      <c r="F62">
        <v>4</v>
      </c>
      <c r="G62" t="str">
        <f>"Łukówek-świetlica, Łukówek 50, 22-107 Sawin"</f>
        <v>Łukówek-świetlica, Łukówek 50, 22-107 Sawin</v>
      </c>
      <c r="H62">
        <v>275</v>
      </c>
      <c r="I62">
        <v>275</v>
      </c>
      <c r="J62">
        <v>0</v>
      </c>
      <c r="K62">
        <v>200</v>
      </c>
      <c r="L62">
        <v>129</v>
      </c>
      <c r="M62">
        <v>71</v>
      </c>
      <c r="N62">
        <v>71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71</v>
      </c>
      <c r="Z62">
        <v>0</v>
      </c>
      <c r="AA62">
        <v>0</v>
      </c>
      <c r="AB62">
        <v>71</v>
      </c>
      <c r="AC62">
        <v>4</v>
      </c>
      <c r="AD62">
        <v>67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1</v>
      </c>
      <c r="AR62">
        <v>0</v>
      </c>
      <c r="AS62">
        <v>1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1</v>
      </c>
      <c r="BC62">
        <v>4</v>
      </c>
      <c r="BD62">
        <v>1</v>
      </c>
      <c r="BE62">
        <v>0</v>
      </c>
      <c r="BF62">
        <v>0</v>
      </c>
      <c r="BG62">
        <v>1</v>
      </c>
      <c r="BH62">
        <v>2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4</v>
      </c>
      <c r="BO62">
        <v>18</v>
      </c>
      <c r="BP62">
        <v>3</v>
      </c>
      <c r="BQ62">
        <v>11</v>
      </c>
      <c r="BR62">
        <v>0</v>
      </c>
      <c r="BS62">
        <v>4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18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1</v>
      </c>
      <c r="CZ62">
        <v>1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1</v>
      </c>
      <c r="DK62">
        <v>19</v>
      </c>
      <c r="DL62">
        <v>1</v>
      </c>
      <c r="DM62">
        <v>1</v>
      </c>
      <c r="DN62">
        <v>0</v>
      </c>
      <c r="DO62">
        <v>0</v>
      </c>
      <c r="DP62">
        <v>17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19</v>
      </c>
      <c r="DW62">
        <v>24</v>
      </c>
      <c r="DX62">
        <v>0</v>
      </c>
      <c r="DY62">
        <v>0</v>
      </c>
      <c r="DZ62">
        <v>0</v>
      </c>
      <c r="EA62">
        <v>24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24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</row>
    <row r="63" spans="1:150" ht="12.75">
      <c r="A63">
        <v>58</v>
      </c>
      <c r="B63" t="str">
        <f t="shared" si="7"/>
        <v>060310</v>
      </c>
      <c r="C63" t="str">
        <f t="shared" si="8"/>
        <v>Sawin</v>
      </c>
      <c r="D63" t="str">
        <f t="shared" si="6"/>
        <v>chełmski</v>
      </c>
      <c r="E63" t="str">
        <f t="shared" si="1"/>
        <v>lubelskie</v>
      </c>
      <c r="F63">
        <v>5</v>
      </c>
      <c r="G63" t="str">
        <f>"Czułczyce-Szkoła Podstawowa, Czułczyce 71, 22-107 Sawin"</f>
        <v>Czułczyce-Szkoła Podstawowa, Czułczyce 71, 22-107 Sawin</v>
      </c>
      <c r="H63">
        <v>1024</v>
      </c>
      <c r="I63">
        <v>1024</v>
      </c>
      <c r="J63">
        <v>0</v>
      </c>
      <c r="K63">
        <v>717</v>
      </c>
      <c r="L63">
        <v>506</v>
      </c>
      <c r="M63">
        <v>211</v>
      </c>
      <c r="N63">
        <v>211</v>
      </c>
      <c r="O63">
        <v>0</v>
      </c>
      <c r="P63">
        <v>0</v>
      </c>
      <c r="Q63">
        <v>1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211</v>
      </c>
      <c r="Z63">
        <v>0</v>
      </c>
      <c r="AA63">
        <v>0</v>
      </c>
      <c r="AB63">
        <v>211</v>
      </c>
      <c r="AC63">
        <v>10</v>
      </c>
      <c r="AD63">
        <v>201</v>
      </c>
      <c r="AE63">
        <v>13</v>
      </c>
      <c r="AF63">
        <v>5</v>
      </c>
      <c r="AG63">
        <v>1</v>
      </c>
      <c r="AH63">
        <v>1</v>
      </c>
      <c r="AI63">
        <v>0</v>
      </c>
      <c r="AJ63">
        <v>0</v>
      </c>
      <c r="AK63">
        <v>0</v>
      </c>
      <c r="AL63">
        <v>2</v>
      </c>
      <c r="AM63">
        <v>1</v>
      </c>
      <c r="AN63">
        <v>0</v>
      </c>
      <c r="AO63">
        <v>3</v>
      </c>
      <c r="AP63">
        <v>13</v>
      </c>
      <c r="AQ63">
        <v>2</v>
      </c>
      <c r="AR63">
        <v>2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2</v>
      </c>
      <c r="BC63">
        <v>5</v>
      </c>
      <c r="BD63">
        <v>1</v>
      </c>
      <c r="BE63">
        <v>0</v>
      </c>
      <c r="BF63">
        <v>0</v>
      </c>
      <c r="BG63">
        <v>0</v>
      </c>
      <c r="BH63">
        <v>4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5</v>
      </c>
      <c r="BO63">
        <v>75</v>
      </c>
      <c r="BP63">
        <v>9</v>
      </c>
      <c r="BQ63">
        <v>48</v>
      </c>
      <c r="BR63">
        <v>1</v>
      </c>
      <c r="BS63">
        <v>16</v>
      </c>
      <c r="BT63">
        <v>0</v>
      </c>
      <c r="BU63">
        <v>0</v>
      </c>
      <c r="BV63">
        <v>0</v>
      </c>
      <c r="BW63">
        <v>0</v>
      </c>
      <c r="BX63">
        <v>1</v>
      </c>
      <c r="BY63">
        <v>0</v>
      </c>
      <c r="BZ63">
        <v>75</v>
      </c>
      <c r="CA63">
        <v>2</v>
      </c>
      <c r="CB63">
        <v>2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2</v>
      </c>
      <c r="CM63">
        <v>1</v>
      </c>
      <c r="CN63">
        <v>1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1</v>
      </c>
      <c r="CY63">
        <v>10</v>
      </c>
      <c r="CZ63">
        <v>4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1</v>
      </c>
      <c r="DG63">
        <v>0</v>
      </c>
      <c r="DH63">
        <v>0</v>
      </c>
      <c r="DI63">
        <v>5</v>
      </c>
      <c r="DJ63">
        <v>10</v>
      </c>
      <c r="DK63">
        <v>27</v>
      </c>
      <c r="DL63">
        <v>1</v>
      </c>
      <c r="DM63">
        <v>0</v>
      </c>
      <c r="DN63">
        <v>1</v>
      </c>
      <c r="DO63">
        <v>0</v>
      </c>
      <c r="DP63">
        <v>24</v>
      </c>
      <c r="DQ63">
        <v>0</v>
      </c>
      <c r="DR63">
        <v>0</v>
      </c>
      <c r="DS63">
        <v>0</v>
      </c>
      <c r="DT63">
        <v>1</v>
      </c>
      <c r="DU63">
        <v>0</v>
      </c>
      <c r="DV63">
        <v>27</v>
      </c>
      <c r="DW63">
        <v>65</v>
      </c>
      <c r="DX63">
        <v>5</v>
      </c>
      <c r="DY63">
        <v>3</v>
      </c>
      <c r="DZ63">
        <v>0</v>
      </c>
      <c r="EA63">
        <v>55</v>
      </c>
      <c r="EB63">
        <v>0</v>
      </c>
      <c r="EC63">
        <v>0</v>
      </c>
      <c r="ED63">
        <v>0</v>
      </c>
      <c r="EE63">
        <v>0</v>
      </c>
      <c r="EF63">
        <v>2</v>
      </c>
      <c r="EG63">
        <v>0</v>
      </c>
      <c r="EH63">
        <v>65</v>
      </c>
      <c r="EI63">
        <v>1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1</v>
      </c>
      <c r="ES63">
        <v>0</v>
      </c>
      <c r="ET63">
        <v>1</v>
      </c>
    </row>
    <row r="64" spans="1:150" ht="12.75">
      <c r="A64">
        <v>59</v>
      </c>
      <c r="B64" t="str">
        <f t="shared" si="7"/>
        <v>060310</v>
      </c>
      <c r="C64" t="str">
        <f t="shared" si="8"/>
        <v>Sawin</v>
      </c>
      <c r="D64" t="str">
        <f t="shared" si="6"/>
        <v>chełmski</v>
      </c>
      <c r="E64" t="str">
        <f t="shared" si="1"/>
        <v>lubelskie</v>
      </c>
      <c r="F64">
        <v>6</v>
      </c>
      <c r="G64" t="str">
        <f>"Sawin, Chutecka 12 -lokal Urzędu Gminy Sawin, 22-107 Sawin"</f>
        <v>Sawin, Chutecka 12 -lokal Urzędu Gminy Sawin, 22-107 Sawin</v>
      </c>
      <c r="H64">
        <v>1754</v>
      </c>
      <c r="I64">
        <v>1754</v>
      </c>
      <c r="J64">
        <v>0</v>
      </c>
      <c r="K64">
        <v>1240</v>
      </c>
      <c r="L64">
        <v>881</v>
      </c>
      <c r="M64">
        <v>359</v>
      </c>
      <c r="N64">
        <v>359</v>
      </c>
      <c r="O64">
        <v>0</v>
      </c>
      <c r="P64">
        <v>0</v>
      </c>
      <c r="Q64">
        <v>1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359</v>
      </c>
      <c r="Z64">
        <v>0</v>
      </c>
      <c r="AA64">
        <v>0</v>
      </c>
      <c r="AB64">
        <v>359</v>
      </c>
      <c r="AC64">
        <v>12</v>
      </c>
      <c r="AD64">
        <v>347</v>
      </c>
      <c r="AE64">
        <v>5</v>
      </c>
      <c r="AF64">
        <v>4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1</v>
      </c>
      <c r="AN64">
        <v>0</v>
      </c>
      <c r="AO64">
        <v>0</v>
      </c>
      <c r="AP64">
        <v>5</v>
      </c>
      <c r="AQ64">
        <v>3</v>
      </c>
      <c r="AR64">
        <v>1</v>
      </c>
      <c r="AS64">
        <v>1</v>
      </c>
      <c r="AT64">
        <v>0</v>
      </c>
      <c r="AU64">
        <v>0</v>
      </c>
      <c r="AV64">
        <v>0</v>
      </c>
      <c r="AW64">
        <v>1</v>
      </c>
      <c r="AX64">
        <v>0</v>
      </c>
      <c r="AY64">
        <v>0</v>
      </c>
      <c r="AZ64">
        <v>0</v>
      </c>
      <c r="BA64">
        <v>0</v>
      </c>
      <c r="BB64">
        <v>3</v>
      </c>
      <c r="BC64">
        <v>11</v>
      </c>
      <c r="BD64">
        <v>8</v>
      </c>
      <c r="BE64">
        <v>0</v>
      </c>
      <c r="BF64">
        <v>0</v>
      </c>
      <c r="BG64">
        <v>0</v>
      </c>
      <c r="BH64">
        <v>2</v>
      </c>
      <c r="BI64">
        <v>0</v>
      </c>
      <c r="BJ64">
        <v>0</v>
      </c>
      <c r="BK64">
        <v>0</v>
      </c>
      <c r="BL64">
        <v>0</v>
      </c>
      <c r="BM64">
        <v>1</v>
      </c>
      <c r="BN64">
        <v>11</v>
      </c>
      <c r="BO64">
        <v>100</v>
      </c>
      <c r="BP64">
        <v>14</v>
      </c>
      <c r="BQ64">
        <v>30</v>
      </c>
      <c r="BR64">
        <v>5</v>
      </c>
      <c r="BS64">
        <v>49</v>
      </c>
      <c r="BT64">
        <v>0</v>
      </c>
      <c r="BU64">
        <v>1</v>
      </c>
      <c r="BV64">
        <v>0</v>
      </c>
      <c r="BW64">
        <v>0</v>
      </c>
      <c r="BX64">
        <v>0</v>
      </c>
      <c r="BY64">
        <v>1</v>
      </c>
      <c r="BZ64">
        <v>100</v>
      </c>
      <c r="CA64">
        <v>2</v>
      </c>
      <c r="CB64">
        <v>0</v>
      </c>
      <c r="CC64">
        <v>1</v>
      </c>
      <c r="CD64">
        <v>1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</v>
      </c>
      <c r="CM64">
        <v>6</v>
      </c>
      <c r="CN64">
        <v>5</v>
      </c>
      <c r="CO64">
        <v>0</v>
      </c>
      <c r="CP64">
        <v>0</v>
      </c>
      <c r="CQ64">
        <v>1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6</v>
      </c>
      <c r="CY64">
        <v>24</v>
      </c>
      <c r="CZ64">
        <v>10</v>
      </c>
      <c r="DA64">
        <v>1</v>
      </c>
      <c r="DB64">
        <v>0</v>
      </c>
      <c r="DC64">
        <v>1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12</v>
      </c>
      <c r="DJ64">
        <v>24</v>
      </c>
      <c r="DK64">
        <v>80</v>
      </c>
      <c r="DL64">
        <v>5</v>
      </c>
      <c r="DM64">
        <v>5</v>
      </c>
      <c r="DN64">
        <v>1</v>
      </c>
      <c r="DO64">
        <v>0</v>
      </c>
      <c r="DP64">
        <v>68</v>
      </c>
      <c r="DQ64">
        <v>0</v>
      </c>
      <c r="DR64">
        <v>0</v>
      </c>
      <c r="DS64">
        <v>0</v>
      </c>
      <c r="DT64">
        <v>0</v>
      </c>
      <c r="DU64">
        <v>1</v>
      </c>
      <c r="DV64">
        <v>80</v>
      </c>
      <c r="DW64">
        <v>114</v>
      </c>
      <c r="DX64">
        <v>7</v>
      </c>
      <c r="DY64">
        <v>1</v>
      </c>
      <c r="DZ64">
        <v>2</v>
      </c>
      <c r="EA64">
        <v>96</v>
      </c>
      <c r="EB64">
        <v>1</v>
      </c>
      <c r="EC64">
        <v>0</v>
      </c>
      <c r="ED64">
        <v>0</v>
      </c>
      <c r="EE64">
        <v>7</v>
      </c>
      <c r="EF64">
        <v>0</v>
      </c>
      <c r="EG64">
        <v>0</v>
      </c>
      <c r="EH64">
        <v>114</v>
      </c>
      <c r="EI64">
        <v>2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1</v>
      </c>
      <c r="EP64">
        <v>0</v>
      </c>
      <c r="EQ64">
        <v>0</v>
      </c>
      <c r="ER64">
        <v>0</v>
      </c>
      <c r="ES64">
        <v>1</v>
      </c>
      <c r="ET64">
        <v>2</v>
      </c>
    </row>
    <row r="65" spans="1:150" ht="12.75">
      <c r="A65">
        <v>60</v>
      </c>
      <c r="B65" t="str">
        <f aca="true" t="shared" si="9" ref="B65:B74">"060311"</f>
        <v>060311</v>
      </c>
      <c r="C65" t="str">
        <f aca="true" t="shared" si="10" ref="C65:C74">"Siedliszcze"</f>
        <v>Siedliszcze</v>
      </c>
      <c r="D65" t="str">
        <f t="shared" si="6"/>
        <v>chełmski</v>
      </c>
      <c r="E65" t="str">
        <f t="shared" si="1"/>
        <v>lubelskie</v>
      </c>
      <c r="F65">
        <v>1</v>
      </c>
      <c r="G65" t="str">
        <f>"Szkoła Podstawowa, Chojno Nowe Pierwsze 23, 22-130 Siedliszcze"</f>
        <v>Szkoła Podstawowa, Chojno Nowe Pierwsze 23, 22-130 Siedliszcze</v>
      </c>
      <c r="H65">
        <v>867</v>
      </c>
      <c r="I65">
        <v>867</v>
      </c>
      <c r="J65">
        <v>0</v>
      </c>
      <c r="K65">
        <v>600</v>
      </c>
      <c r="L65">
        <v>554</v>
      </c>
      <c r="M65">
        <v>46</v>
      </c>
      <c r="N65">
        <v>46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46</v>
      </c>
      <c r="Z65">
        <v>0</v>
      </c>
      <c r="AA65">
        <v>0</v>
      </c>
      <c r="AB65">
        <v>46</v>
      </c>
      <c r="AC65">
        <v>3</v>
      </c>
      <c r="AD65">
        <v>43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1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1</v>
      </c>
      <c r="AX65">
        <v>0</v>
      </c>
      <c r="AY65">
        <v>0</v>
      </c>
      <c r="AZ65">
        <v>0</v>
      </c>
      <c r="BA65">
        <v>0</v>
      </c>
      <c r="BB65">
        <v>1</v>
      </c>
      <c r="BC65">
        <v>4</v>
      </c>
      <c r="BD65">
        <v>0</v>
      </c>
      <c r="BE65">
        <v>1</v>
      </c>
      <c r="BF65">
        <v>1</v>
      </c>
      <c r="BG65">
        <v>1</v>
      </c>
      <c r="BH65">
        <v>1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4</v>
      </c>
      <c r="BO65">
        <v>10</v>
      </c>
      <c r="BP65">
        <v>2</v>
      </c>
      <c r="BQ65">
        <v>3</v>
      </c>
      <c r="BR65">
        <v>0</v>
      </c>
      <c r="BS65">
        <v>4</v>
      </c>
      <c r="BT65">
        <v>0</v>
      </c>
      <c r="BU65">
        <v>0</v>
      </c>
      <c r="BV65">
        <v>0</v>
      </c>
      <c r="BW65">
        <v>0</v>
      </c>
      <c r="BX65">
        <v>1</v>
      </c>
      <c r="BY65">
        <v>0</v>
      </c>
      <c r="BZ65">
        <v>10</v>
      </c>
      <c r="CA65">
        <v>4</v>
      </c>
      <c r="CB65">
        <v>0</v>
      </c>
      <c r="CC65">
        <v>0</v>
      </c>
      <c r="CD65">
        <v>4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4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1</v>
      </c>
      <c r="CZ65">
        <v>1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1</v>
      </c>
      <c r="DK65">
        <v>6</v>
      </c>
      <c r="DL65">
        <v>1</v>
      </c>
      <c r="DM65">
        <v>0</v>
      </c>
      <c r="DN65">
        <v>0</v>
      </c>
      <c r="DO65">
        <v>0</v>
      </c>
      <c r="DP65">
        <v>5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6</v>
      </c>
      <c r="DW65">
        <v>17</v>
      </c>
      <c r="DX65">
        <v>2</v>
      </c>
      <c r="DY65">
        <v>2</v>
      </c>
      <c r="DZ65">
        <v>0</v>
      </c>
      <c r="EA65">
        <v>12</v>
      </c>
      <c r="EB65">
        <v>0</v>
      </c>
      <c r="EC65">
        <v>0</v>
      </c>
      <c r="ED65">
        <v>0</v>
      </c>
      <c r="EE65">
        <v>1</v>
      </c>
      <c r="EF65">
        <v>0</v>
      </c>
      <c r="EG65">
        <v>0</v>
      </c>
      <c r="EH65">
        <v>17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</row>
    <row r="66" spans="1:150" ht="12.75">
      <c r="A66">
        <v>61</v>
      </c>
      <c r="B66" t="str">
        <f t="shared" si="9"/>
        <v>060311</v>
      </c>
      <c r="C66" t="str">
        <f t="shared" si="10"/>
        <v>Siedliszcze</v>
      </c>
      <c r="D66" t="str">
        <f t="shared" si="6"/>
        <v>chełmski</v>
      </c>
      <c r="E66" t="str">
        <f t="shared" si="1"/>
        <v>lubelskie</v>
      </c>
      <c r="F66">
        <v>2</v>
      </c>
      <c r="G66" t="str">
        <f>"Świetlica, Chojeniec 26, 22-130 Siedliszcze"</f>
        <v>Świetlica, Chojeniec 26, 22-130 Siedliszcze</v>
      </c>
      <c r="H66">
        <v>331</v>
      </c>
      <c r="I66">
        <v>331</v>
      </c>
      <c r="J66">
        <v>0</v>
      </c>
      <c r="K66">
        <v>230</v>
      </c>
      <c r="L66">
        <v>170</v>
      </c>
      <c r="M66">
        <v>60</v>
      </c>
      <c r="N66">
        <v>60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60</v>
      </c>
      <c r="Z66">
        <v>0</v>
      </c>
      <c r="AA66">
        <v>0</v>
      </c>
      <c r="AB66">
        <v>60</v>
      </c>
      <c r="AC66">
        <v>5</v>
      </c>
      <c r="AD66">
        <v>55</v>
      </c>
      <c r="AE66">
        <v>1</v>
      </c>
      <c r="AF66">
        <v>1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1</v>
      </c>
      <c r="AQ66">
        <v>3</v>
      </c>
      <c r="AR66">
        <v>3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3</v>
      </c>
      <c r="BC66">
        <v>2</v>
      </c>
      <c r="BD66">
        <v>0</v>
      </c>
      <c r="BE66">
        <v>0</v>
      </c>
      <c r="BF66">
        <v>0</v>
      </c>
      <c r="BG66">
        <v>1</v>
      </c>
      <c r="BH66">
        <v>1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2</v>
      </c>
      <c r="BO66">
        <v>13</v>
      </c>
      <c r="BP66">
        <v>2</v>
      </c>
      <c r="BQ66">
        <v>5</v>
      </c>
      <c r="BR66">
        <v>0</v>
      </c>
      <c r="BS66">
        <v>4</v>
      </c>
      <c r="BT66">
        <v>0</v>
      </c>
      <c r="BU66">
        <v>0</v>
      </c>
      <c r="BV66">
        <v>0</v>
      </c>
      <c r="BW66">
        <v>0</v>
      </c>
      <c r="BX66">
        <v>2</v>
      </c>
      <c r="BY66">
        <v>0</v>
      </c>
      <c r="BZ66">
        <v>13</v>
      </c>
      <c r="CA66">
        <v>12</v>
      </c>
      <c r="CB66">
        <v>0</v>
      </c>
      <c r="CC66">
        <v>0</v>
      </c>
      <c r="CD66">
        <v>12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12</v>
      </c>
      <c r="CM66">
        <v>3</v>
      </c>
      <c r="CN66">
        <v>2</v>
      </c>
      <c r="CO66">
        <v>0</v>
      </c>
      <c r="CP66">
        <v>1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3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6</v>
      </c>
      <c r="DL66">
        <v>1</v>
      </c>
      <c r="DM66">
        <v>0</v>
      </c>
      <c r="DN66">
        <v>0</v>
      </c>
      <c r="DO66">
        <v>0</v>
      </c>
      <c r="DP66">
        <v>3</v>
      </c>
      <c r="DQ66">
        <v>0</v>
      </c>
      <c r="DR66">
        <v>0</v>
      </c>
      <c r="DS66">
        <v>0</v>
      </c>
      <c r="DT66">
        <v>2</v>
      </c>
      <c r="DU66">
        <v>0</v>
      </c>
      <c r="DV66">
        <v>6</v>
      </c>
      <c r="DW66">
        <v>15</v>
      </c>
      <c r="DX66">
        <v>3</v>
      </c>
      <c r="DY66">
        <v>1</v>
      </c>
      <c r="DZ66">
        <v>0</v>
      </c>
      <c r="EA66">
        <v>9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2</v>
      </c>
      <c r="EH66">
        <v>15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</row>
    <row r="67" spans="1:150" ht="12.75">
      <c r="A67">
        <v>62</v>
      </c>
      <c r="B67" t="str">
        <f t="shared" si="9"/>
        <v>060311</v>
      </c>
      <c r="C67" t="str">
        <f t="shared" si="10"/>
        <v>Siedliszcze</v>
      </c>
      <c r="D67" t="str">
        <f t="shared" si="6"/>
        <v>chełmski</v>
      </c>
      <c r="E67" t="str">
        <f t="shared" si="1"/>
        <v>lubelskie</v>
      </c>
      <c r="F67">
        <v>3</v>
      </c>
      <c r="G67" t="str">
        <f>"Świetlica, Anusin 24, 22-130 Siedliszcze"</f>
        <v>Świetlica, Anusin 24, 22-130 Siedliszcze</v>
      </c>
      <c r="H67">
        <v>477</v>
      </c>
      <c r="I67">
        <v>477</v>
      </c>
      <c r="J67">
        <v>0</v>
      </c>
      <c r="K67">
        <v>340</v>
      </c>
      <c r="L67">
        <v>246</v>
      </c>
      <c r="M67">
        <v>94</v>
      </c>
      <c r="N67">
        <v>94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94</v>
      </c>
      <c r="Z67">
        <v>0</v>
      </c>
      <c r="AA67">
        <v>0</v>
      </c>
      <c r="AB67">
        <v>94</v>
      </c>
      <c r="AC67">
        <v>5</v>
      </c>
      <c r="AD67">
        <v>89</v>
      </c>
      <c r="AE67">
        <v>5</v>
      </c>
      <c r="AF67">
        <v>3</v>
      </c>
      <c r="AG67">
        <v>0</v>
      </c>
      <c r="AH67">
        <v>0</v>
      </c>
      <c r="AI67">
        <v>0</v>
      </c>
      <c r="AJ67">
        <v>1</v>
      </c>
      <c r="AK67">
        <v>0</v>
      </c>
      <c r="AL67">
        <v>0</v>
      </c>
      <c r="AM67">
        <v>0</v>
      </c>
      <c r="AN67">
        <v>1</v>
      </c>
      <c r="AO67">
        <v>0</v>
      </c>
      <c r="AP67">
        <v>5</v>
      </c>
      <c r="AQ67">
        <v>7</v>
      </c>
      <c r="AR67">
        <v>3</v>
      </c>
      <c r="AS67">
        <v>0</v>
      </c>
      <c r="AT67">
        <v>0</v>
      </c>
      <c r="AU67">
        <v>1</v>
      </c>
      <c r="AV67">
        <v>0</v>
      </c>
      <c r="AW67">
        <v>0</v>
      </c>
      <c r="AX67">
        <v>0</v>
      </c>
      <c r="AY67">
        <v>1</v>
      </c>
      <c r="AZ67">
        <v>0</v>
      </c>
      <c r="BA67">
        <v>2</v>
      </c>
      <c r="BB67">
        <v>7</v>
      </c>
      <c r="BC67">
        <v>2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2</v>
      </c>
      <c r="BM67">
        <v>0</v>
      </c>
      <c r="BN67">
        <v>2</v>
      </c>
      <c r="BO67">
        <v>11</v>
      </c>
      <c r="BP67">
        <v>5</v>
      </c>
      <c r="BQ67">
        <v>0</v>
      </c>
      <c r="BR67">
        <v>1</v>
      </c>
      <c r="BS67">
        <v>4</v>
      </c>
      <c r="BT67">
        <v>0</v>
      </c>
      <c r="BU67">
        <v>0</v>
      </c>
      <c r="BV67">
        <v>0</v>
      </c>
      <c r="BW67">
        <v>1</v>
      </c>
      <c r="BX67">
        <v>0</v>
      </c>
      <c r="BY67">
        <v>0</v>
      </c>
      <c r="BZ67">
        <v>11</v>
      </c>
      <c r="CA67">
        <v>4</v>
      </c>
      <c r="CB67">
        <v>0</v>
      </c>
      <c r="CC67">
        <v>1</v>
      </c>
      <c r="CD67">
        <v>3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4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1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1</v>
      </c>
      <c r="DJ67">
        <v>1</v>
      </c>
      <c r="DK67">
        <v>19</v>
      </c>
      <c r="DL67">
        <v>2</v>
      </c>
      <c r="DM67">
        <v>2</v>
      </c>
      <c r="DN67">
        <v>1</v>
      </c>
      <c r="DO67">
        <v>0</v>
      </c>
      <c r="DP67">
        <v>14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19</v>
      </c>
      <c r="DW67">
        <v>39</v>
      </c>
      <c r="DX67">
        <v>6</v>
      </c>
      <c r="DY67">
        <v>5</v>
      </c>
      <c r="DZ67">
        <v>1</v>
      </c>
      <c r="EA67">
        <v>27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39</v>
      </c>
      <c r="EI67">
        <v>1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1</v>
      </c>
      <c r="ES67">
        <v>0</v>
      </c>
      <c r="ET67">
        <v>1</v>
      </c>
    </row>
    <row r="68" spans="1:150" ht="12.75">
      <c r="A68">
        <v>63</v>
      </c>
      <c r="B68" t="str">
        <f t="shared" si="9"/>
        <v>060311</v>
      </c>
      <c r="C68" t="str">
        <f t="shared" si="10"/>
        <v>Siedliszcze</v>
      </c>
      <c r="D68" t="str">
        <f t="shared" si="6"/>
        <v>chełmski</v>
      </c>
      <c r="E68" t="str">
        <f t="shared" si="1"/>
        <v>lubelskie</v>
      </c>
      <c r="F68">
        <v>4</v>
      </c>
      <c r="G68" t="str">
        <f>"Szkoła Podstawowa, Wola Korybutowa-Kolonia 27A, 22-130 Siedliszcze"</f>
        <v>Szkoła Podstawowa, Wola Korybutowa-Kolonia 27A, 22-130 Siedliszcze</v>
      </c>
      <c r="H68">
        <v>400</v>
      </c>
      <c r="I68">
        <v>400</v>
      </c>
      <c r="J68">
        <v>0</v>
      </c>
      <c r="K68">
        <v>280</v>
      </c>
      <c r="L68">
        <v>231</v>
      </c>
      <c r="M68">
        <v>49</v>
      </c>
      <c r="N68">
        <v>49</v>
      </c>
      <c r="O68">
        <v>0</v>
      </c>
      <c r="P68">
        <v>0</v>
      </c>
      <c r="Q68">
        <v>1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49</v>
      </c>
      <c r="Z68">
        <v>0</v>
      </c>
      <c r="AA68">
        <v>0</v>
      </c>
      <c r="AB68">
        <v>49</v>
      </c>
      <c r="AC68">
        <v>0</v>
      </c>
      <c r="AD68">
        <v>49</v>
      </c>
      <c r="AE68">
        <v>5</v>
      </c>
      <c r="AF68">
        <v>2</v>
      </c>
      <c r="AG68">
        <v>0</v>
      </c>
      <c r="AH68">
        <v>2</v>
      </c>
      <c r="AI68">
        <v>0</v>
      </c>
      <c r="AJ68">
        <v>0</v>
      </c>
      <c r="AK68">
        <v>0</v>
      </c>
      <c r="AL68">
        <v>1</v>
      </c>
      <c r="AM68">
        <v>0</v>
      </c>
      <c r="AN68">
        <v>0</v>
      </c>
      <c r="AO68">
        <v>0</v>
      </c>
      <c r="AP68">
        <v>5</v>
      </c>
      <c r="AQ68">
        <v>1</v>
      </c>
      <c r="AR68">
        <v>0</v>
      </c>
      <c r="AS68">
        <v>0</v>
      </c>
      <c r="AT68">
        <v>1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1</v>
      </c>
      <c r="BC68">
        <v>2</v>
      </c>
      <c r="BD68">
        <v>0</v>
      </c>
      <c r="BE68">
        <v>0</v>
      </c>
      <c r="BF68">
        <v>1</v>
      </c>
      <c r="BG68">
        <v>0</v>
      </c>
      <c r="BH68">
        <v>1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2</v>
      </c>
      <c r="BO68">
        <v>17</v>
      </c>
      <c r="BP68">
        <v>7</v>
      </c>
      <c r="BQ68">
        <v>2</v>
      </c>
      <c r="BR68">
        <v>1</v>
      </c>
      <c r="BS68">
        <v>3</v>
      </c>
      <c r="BT68">
        <v>0</v>
      </c>
      <c r="BU68">
        <v>1</v>
      </c>
      <c r="BV68">
        <v>0</v>
      </c>
      <c r="BW68">
        <v>3</v>
      </c>
      <c r="BX68">
        <v>0</v>
      </c>
      <c r="BY68">
        <v>0</v>
      </c>
      <c r="BZ68">
        <v>17</v>
      </c>
      <c r="CA68">
        <v>3</v>
      </c>
      <c r="CB68">
        <v>1</v>
      </c>
      <c r="CC68">
        <v>0</v>
      </c>
      <c r="CD68">
        <v>2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3</v>
      </c>
      <c r="CM68">
        <v>2</v>
      </c>
      <c r="CN68">
        <v>1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1</v>
      </c>
      <c r="CX68">
        <v>2</v>
      </c>
      <c r="CY68">
        <v>2</v>
      </c>
      <c r="CZ68">
        <v>2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2</v>
      </c>
      <c r="DK68">
        <v>10</v>
      </c>
      <c r="DL68">
        <v>2</v>
      </c>
      <c r="DM68">
        <v>0</v>
      </c>
      <c r="DN68">
        <v>0</v>
      </c>
      <c r="DO68">
        <v>0</v>
      </c>
      <c r="DP68">
        <v>7</v>
      </c>
      <c r="DQ68">
        <v>0</v>
      </c>
      <c r="DR68">
        <v>0</v>
      </c>
      <c r="DS68">
        <v>0</v>
      </c>
      <c r="DT68">
        <v>1</v>
      </c>
      <c r="DU68">
        <v>0</v>
      </c>
      <c r="DV68">
        <v>10</v>
      </c>
      <c r="DW68">
        <v>7</v>
      </c>
      <c r="DX68">
        <v>0</v>
      </c>
      <c r="DY68">
        <v>2</v>
      </c>
      <c r="DZ68">
        <v>0</v>
      </c>
      <c r="EA68">
        <v>5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7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</row>
    <row r="69" spans="1:150" ht="12.75">
      <c r="A69">
        <v>64</v>
      </c>
      <c r="B69" t="str">
        <f t="shared" si="9"/>
        <v>060311</v>
      </c>
      <c r="C69" t="str">
        <f t="shared" si="10"/>
        <v>Siedliszcze</v>
      </c>
      <c r="D69" t="str">
        <f t="shared" si="6"/>
        <v>chełmski</v>
      </c>
      <c r="E69" t="str">
        <f t="shared" si="1"/>
        <v>lubelskie</v>
      </c>
      <c r="F69">
        <v>5</v>
      </c>
      <c r="G69" t="str">
        <f>"Warsztat Terapii Zajęciowej, Majdan Zahorodyński 1 1, 22-130 Siedliszcze"</f>
        <v>Warsztat Terapii Zajęciowej, Majdan Zahorodyński 1 1, 22-130 Siedliszcze</v>
      </c>
      <c r="H69">
        <v>443</v>
      </c>
      <c r="I69">
        <v>443</v>
      </c>
      <c r="J69">
        <v>0</v>
      </c>
      <c r="K69">
        <v>310</v>
      </c>
      <c r="L69">
        <v>243</v>
      </c>
      <c r="M69">
        <v>67</v>
      </c>
      <c r="N69">
        <v>67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67</v>
      </c>
      <c r="Z69">
        <v>0</v>
      </c>
      <c r="AA69">
        <v>0</v>
      </c>
      <c r="AB69">
        <v>67</v>
      </c>
      <c r="AC69">
        <v>4</v>
      </c>
      <c r="AD69">
        <v>63</v>
      </c>
      <c r="AE69">
        <v>2</v>
      </c>
      <c r="AF69">
        <v>2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2</v>
      </c>
      <c r="AQ69">
        <v>5</v>
      </c>
      <c r="AR69">
        <v>0</v>
      </c>
      <c r="AS69">
        <v>1</v>
      </c>
      <c r="AT69">
        <v>0</v>
      </c>
      <c r="AU69">
        <v>0</v>
      </c>
      <c r="AV69">
        <v>0</v>
      </c>
      <c r="AW69">
        <v>3</v>
      </c>
      <c r="AX69">
        <v>0</v>
      </c>
      <c r="AY69">
        <v>0</v>
      </c>
      <c r="AZ69">
        <v>1</v>
      </c>
      <c r="BA69">
        <v>0</v>
      </c>
      <c r="BB69">
        <v>5</v>
      </c>
      <c r="BC69">
        <v>3</v>
      </c>
      <c r="BD69">
        <v>0</v>
      </c>
      <c r="BE69">
        <v>0</v>
      </c>
      <c r="BF69">
        <v>0</v>
      </c>
      <c r="BG69">
        <v>1</v>
      </c>
      <c r="BH69">
        <v>1</v>
      </c>
      <c r="BI69">
        <v>0</v>
      </c>
      <c r="BJ69">
        <v>0</v>
      </c>
      <c r="BK69">
        <v>0</v>
      </c>
      <c r="BL69">
        <v>1</v>
      </c>
      <c r="BM69">
        <v>0</v>
      </c>
      <c r="BN69">
        <v>3</v>
      </c>
      <c r="BO69">
        <v>22</v>
      </c>
      <c r="BP69">
        <v>3</v>
      </c>
      <c r="BQ69">
        <v>11</v>
      </c>
      <c r="BR69">
        <v>0</v>
      </c>
      <c r="BS69">
        <v>6</v>
      </c>
      <c r="BT69">
        <v>0</v>
      </c>
      <c r="BU69">
        <v>0</v>
      </c>
      <c r="BV69">
        <v>0</v>
      </c>
      <c r="BW69">
        <v>2</v>
      </c>
      <c r="BX69">
        <v>0</v>
      </c>
      <c r="BY69">
        <v>0</v>
      </c>
      <c r="BZ69">
        <v>22</v>
      </c>
      <c r="CA69">
        <v>1</v>
      </c>
      <c r="CB69">
        <v>0</v>
      </c>
      <c r="CC69">
        <v>0</v>
      </c>
      <c r="CD69">
        <v>0</v>
      </c>
      <c r="CE69">
        <v>1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1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1</v>
      </c>
      <c r="CZ69">
        <v>1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1</v>
      </c>
      <c r="DK69">
        <v>14</v>
      </c>
      <c r="DL69">
        <v>1</v>
      </c>
      <c r="DM69">
        <v>0</v>
      </c>
      <c r="DN69">
        <v>0</v>
      </c>
      <c r="DO69">
        <v>0</v>
      </c>
      <c r="DP69">
        <v>13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14</v>
      </c>
      <c r="DW69">
        <v>15</v>
      </c>
      <c r="DX69">
        <v>0</v>
      </c>
      <c r="DY69">
        <v>2</v>
      </c>
      <c r="DZ69">
        <v>0</v>
      </c>
      <c r="EA69">
        <v>13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15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</row>
    <row r="70" spans="1:150" ht="12.75">
      <c r="A70">
        <v>65</v>
      </c>
      <c r="B70" t="str">
        <f t="shared" si="9"/>
        <v>060311</v>
      </c>
      <c r="C70" t="str">
        <f t="shared" si="10"/>
        <v>Siedliszcze</v>
      </c>
      <c r="D70" t="str">
        <f aca="true" t="shared" si="11" ref="D70:D96">"chełmski"</f>
        <v>chełmski</v>
      </c>
      <c r="E70" t="str">
        <f aca="true" t="shared" si="12" ref="E70:E133">"lubelskie"</f>
        <v>lubelskie</v>
      </c>
      <c r="F70">
        <v>6</v>
      </c>
      <c r="G70" t="str">
        <f>"Świetlica, Kulik 66, 22-130 Siedliszcze"</f>
        <v>Świetlica, Kulik 66, 22-130 Siedliszcze</v>
      </c>
      <c r="H70">
        <v>400</v>
      </c>
      <c r="I70">
        <v>400</v>
      </c>
      <c r="J70">
        <v>0</v>
      </c>
      <c r="K70">
        <v>280</v>
      </c>
      <c r="L70">
        <v>237</v>
      </c>
      <c r="M70">
        <v>43</v>
      </c>
      <c r="N70">
        <v>43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43</v>
      </c>
      <c r="Z70">
        <v>0</v>
      </c>
      <c r="AA70">
        <v>0</v>
      </c>
      <c r="AB70">
        <v>43</v>
      </c>
      <c r="AC70">
        <v>2</v>
      </c>
      <c r="AD70">
        <v>41</v>
      </c>
      <c r="AE70">
        <v>4</v>
      </c>
      <c r="AF70">
        <v>1</v>
      </c>
      <c r="AG70">
        <v>0</v>
      </c>
      <c r="AH70">
        <v>0</v>
      </c>
      <c r="AI70">
        <v>2</v>
      </c>
      <c r="AJ70">
        <v>0</v>
      </c>
      <c r="AK70">
        <v>1</v>
      </c>
      <c r="AL70">
        <v>0</v>
      </c>
      <c r="AM70">
        <v>0</v>
      </c>
      <c r="AN70">
        <v>0</v>
      </c>
      <c r="AO70">
        <v>0</v>
      </c>
      <c r="AP70">
        <v>4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15</v>
      </c>
      <c r="BP70">
        <v>3</v>
      </c>
      <c r="BQ70">
        <v>1</v>
      </c>
      <c r="BR70">
        <v>2</v>
      </c>
      <c r="BS70">
        <v>9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15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1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1</v>
      </c>
      <c r="CW70">
        <v>0</v>
      </c>
      <c r="CX70">
        <v>1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4</v>
      </c>
      <c r="DL70">
        <v>0</v>
      </c>
      <c r="DM70">
        <v>1</v>
      </c>
      <c r="DN70">
        <v>0</v>
      </c>
      <c r="DO70">
        <v>0</v>
      </c>
      <c r="DP70">
        <v>3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4</v>
      </c>
      <c r="DW70">
        <v>17</v>
      </c>
      <c r="DX70">
        <v>1</v>
      </c>
      <c r="DY70">
        <v>0</v>
      </c>
      <c r="DZ70">
        <v>1</v>
      </c>
      <c r="EA70">
        <v>15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17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</row>
    <row r="71" spans="1:150" ht="12.75">
      <c r="A71">
        <v>66</v>
      </c>
      <c r="B71" t="str">
        <f t="shared" si="9"/>
        <v>060311</v>
      </c>
      <c r="C71" t="str">
        <f t="shared" si="10"/>
        <v>Siedliszcze</v>
      </c>
      <c r="D71" t="str">
        <f t="shared" si="11"/>
        <v>chełmski</v>
      </c>
      <c r="E71" t="str">
        <f t="shared" si="12"/>
        <v>lubelskie</v>
      </c>
      <c r="F71">
        <v>7</v>
      </c>
      <c r="G71" t="str">
        <f>"Świetlica, Mogilnica 49 4, 22-130 Siedliszcze"</f>
        <v>Świetlica, Mogilnica 49 4, 22-130 Siedliszcze</v>
      </c>
      <c r="H71">
        <v>443</v>
      </c>
      <c r="I71">
        <v>443</v>
      </c>
      <c r="J71">
        <v>0</v>
      </c>
      <c r="K71">
        <v>310</v>
      </c>
      <c r="L71">
        <v>250</v>
      </c>
      <c r="M71">
        <v>60</v>
      </c>
      <c r="N71">
        <v>60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60</v>
      </c>
      <c r="Z71">
        <v>0</v>
      </c>
      <c r="AA71">
        <v>0</v>
      </c>
      <c r="AB71">
        <v>60</v>
      </c>
      <c r="AC71">
        <v>6</v>
      </c>
      <c r="AD71">
        <v>54</v>
      </c>
      <c r="AE71">
        <v>1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1</v>
      </c>
      <c r="AL71">
        <v>0</v>
      </c>
      <c r="AM71">
        <v>0</v>
      </c>
      <c r="AN71">
        <v>0</v>
      </c>
      <c r="AO71">
        <v>0</v>
      </c>
      <c r="AP71">
        <v>1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5</v>
      </c>
      <c r="BD71">
        <v>1</v>
      </c>
      <c r="BE71">
        <v>0</v>
      </c>
      <c r="BF71">
        <v>0</v>
      </c>
      <c r="BG71">
        <v>0</v>
      </c>
      <c r="BH71">
        <v>2</v>
      </c>
      <c r="BI71">
        <v>1</v>
      </c>
      <c r="BJ71">
        <v>1</v>
      </c>
      <c r="BK71">
        <v>0</v>
      </c>
      <c r="BL71">
        <v>0</v>
      </c>
      <c r="BM71">
        <v>0</v>
      </c>
      <c r="BN71">
        <v>5</v>
      </c>
      <c r="BO71">
        <v>14</v>
      </c>
      <c r="BP71">
        <v>2</v>
      </c>
      <c r="BQ71">
        <v>4</v>
      </c>
      <c r="BR71">
        <v>0</v>
      </c>
      <c r="BS71">
        <v>3</v>
      </c>
      <c r="BT71">
        <v>0</v>
      </c>
      <c r="BU71">
        <v>1</v>
      </c>
      <c r="BV71">
        <v>0</v>
      </c>
      <c r="BW71">
        <v>3</v>
      </c>
      <c r="BX71">
        <v>0</v>
      </c>
      <c r="BY71">
        <v>1</v>
      </c>
      <c r="BZ71">
        <v>14</v>
      </c>
      <c r="CA71">
        <v>2</v>
      </c>
      <c r="CB71">
        <v>0</v>
      </c>
      <c r="CC71">
        <v>1</v>
      </c>
      <c r="CD71">
        <v>0</v>
      </c>
      <c r="CE71">
        <v>0</v>
      </c>
      <c r="CF71">
        <v>0</v>
      </c>
      <c r="CG71">
        <v>0</v>
      </c>
      <c r="CH71">
        <v>1</v>
      </c>
      <c r="CI71">
        <v>0</v>
      </c>
      <c r="CJ71">
        <v>0</v>
      </c>
      <c r="CK71">
        <v>0</v>
      </c>
      <c r="CL71">
        <v>2</v>
      </c>
      <c r="CM71">
        <v>2</v>
      </c>
      <c r="CN71">
        <v>0</v>
      </c>
      <c r="CO71">
        <v>0</v>
      </c>
      <c r="CP71">
        <v>0</v>
      </c>
      <c r="CQ71">
        <v>1</v>
      </c>
      <c r="CR71">
        <v>1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2</v>
      </c>
      <c r="CY71">
        <v>1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1</v>
      </c>
      <c r="DJ71">
        <v>1</v>
      </c>
      <c r="DK71">
        <v>12</v>
      </c>
      <c r="DL71">
        <v>0</v>
      </c>
      <c r="DM71">
        <v>0</v>
      </c>
      <c r="DN71">
        <v>0</v>
      </c>
      <c r="DO71">
        <v>0</v>
      </c>
      <c r="DP71">
        <v>11</v>
      </c>
      <c r="DQ71">
        <v>1</v>
      </c>
      <c r="DR71">
        <v>0</v>
      </c>
      <c r="DS71">
        <v>0</v>
      </c>
      <c r="DT71">
        <v>0</v>
      </c>
      <c r="DU71">
        <v>0</v>
      </c>
      <c r="DV71">
        <v>12</v>
      </c>
      <c r="DW71">
        <v>15</v>
      </c>
      <c r="DX71">
        <v>0</v>
      </c>
      <c r="DY71">
        <v>1</v>
      </c>
      <c r="DZ71">
        <v>0</v>
      </c>
      <c r="EA71">
        <v>13</v>
      </c>
      <c r="EB71">
        <v>0</v>
      </c>
      <c r="EC71">
        <v>0</v>
      </c>
      <c r="ED71">
        <v>0</v>
      </c>
      <c r="EE71">
        <v>1</v>
      </c>
      <c r="EF71">
        <v>0</v>
      </c>
      <c r="EG71">
        <v>0</v>
      </c>
      <c r="EH71">
        <v>15</v>
      </c>
      <c r="EI71">
        <v>2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</v>
      </c>
      <c r="EQ71">
        <v>0</v>
      </c>
      <c r="ER71">
        <v>0</v>
      </c>
      <c r="ES71">
        <v>1</v>
      </c>
      <c r="ET71">
        <v>2</v>
      </c>
    </row>
    <row r="72" spans="1:150" ht="12.75">
      <c r="A72">
        <v>67</v>
      </c>
      <c r="B72" t="str">
        <f t="shared" si="9"/>
        <v>060311</v>
      </c>
      <c r="C72" t="str">
        <f t="shared" si="10"/>
        <v>Siedliszcze</v>
      </c>
      <c r="D72" t="str">
        <f t="shared" si="11"/>
        <v>chełmski</v>
      </c>
      <c r="E72" t="str">
        <f t="shared" si="12"/>
        <v>lubelskie</v>
      </c>
      <c r="F72">
        <v>8</v>
      </c>
      <c r="G72" t="str">
        <f>"Szkoła Podstawowa, Bezek 59, 22-130 Siedliszcze"</f>
        <v>Szkoła Podstawowa, Bezek 59, 22-130 Siedliszcze</v>
      </c>
      <c r="H72">
        <v>553</v>
      </c>
      <c r="I72">
        <v>553</v>
      </c>
      <c r="J72">
        <v>0</v>
      </c>
      <c r="K72">
        <v>389</v>
      </c>
      <c r="L72">
        <v>329</v>
      </c>
      <c r="M72">
        <v>60</v>
      </c>
      <c r="N72">
        <v>60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60</v>
      </c>
      <c r="Z72">
        <v>0</v>
      </c>
      <c r="AA72">
        <v>0</v>
      </c>
      <c r="AB72">
        <v>60</v>
      </c>
      <c r="AC72">
        <v>5</v>
      </c>
      <c r="AD72">
        <v>55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1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1</v>
      </c>
      <c r="AX72">
        <v>0</v>
      </c>
      <c r="AY72">
        <v>0</v>
      </c>
      <c r="AZ72">
        <v>0</v>
      </c>
      <c r="BA72">
        <v>0</v>
      </c>
      <c r="BB72">
        <v>1</v>
      </c>
      <c r="BC72">
        <v>1</v>
      </c>
      <c r="BD72">
        <v>1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1</v>
      </c>
      <c r="BO72">
        <v>13</v>
      </c>
      <c r="BP72">
        <v>5</v>
      </c>
      <c r="BQ72">
        <v>6</v>
      </c>
      <c r="BR72">
        <v>0</v>
      </c>
      <c r="BS72">
        <v>1</v>
      </c>
      <c r="BT72">
        <v>0</v>
      </c>
      <c r="BU72">
        <v>1</v>
      </c>
      <c r="BV72">
        <v>0</v>
      </c>
      <c r="BW72">
        <v>0</v>
      </c>
      <c r="BX72">
        <v>0</v>
      </c>
      <c r="BY72">
        <v>0</v>
      </c>
      <c r="BZ72">
        <v>13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2</v>
      </c>
      <c r="CZ72">
        <v>1</v>
      </c>
      <c r="DA72">
        <v>0</v>
      </c>
      <c r="DB72">
        <v>0</v>
      </c>
      <c r="DC72">
        <v>0</v>
      </c>
      <c r="DD72">
        <v>1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2</v>
      </c>
      <c r="DK72">
        <v>20</v>
      </c>
      <c r="DL72">
        <v>2</v>
      </c>
      <c r="DM72">
        <v>0</v>
      </c>
      <c r="DN72">
        <v>2</v>
      </c>
      <c r="DO72">
        <v>0</v>
      </c>
      <c r="DP72">
        <v>16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20</v>
      </c>
      <c r="DW72">
        <v>18</v>
      </c>
      <c r="DX72">
        <v>1</v>
      </c>
      <c r="DY72">
        <v>0</v>
      </c>
      <c r="DZ72">
        <v>0</v>
      </c>
      <c r="EA72">
        <v>17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18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</row>
    <row r="73" spans="1:150" ht="12.75">
      <c r="A73">
        <v>68</v>
      </c>
      <c r="B73" t="str">
        <f t="shared" si="9"/>
        <v>060311</v>
      </c>
      <c r="C73" t="str">
        <f t="shared" si="10"/>
        <v>Siedliszcze</v>
      </c>
      <c r="D73" t="str">
        <f t="shared" si="11"/>
        <v>chełmski</v>
      </c>
      <c r="E73" t="str">
        <f t="shared" si="12"/>
        <v>lubelskie</v>
      </c>
      <c r="F73">
        <v>9</v>
      </c>
      <c r="G73" t="str">
        <f>"Świetlica, Adolfin 15, 22-130 Siedliszcze"</f>
        <v>Świetlica, Adolfin 15, 22-130 Siedliszcze</v>
      </c>
      <c r="H73">
        <v>262</v>
      </c>
      <c r="I73">
        <v>262</v>
      </c>
      <c r="J73">
        <v>0</v>
      </c>
      <c r="K73">
        <v>180</v>
      </c>
      <c r="L73">
        <v>136</v>
      </c>
      <c r="M73">
        <v>44</v>
      </c>
      <c r="N73">
        <v>44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44</v>
      </c>
      <c r="Z73">
        <v>0</v>
      </c>
      <c r="AA73">
        <v>0</v>
      </c>
      <c r="AB73">
        <v>44</v>
      </c>
      <c r="AC73">
        <v>0</v>
      </c>
      <c r="AD73">
        <v>44</v>
      </c>
      <c r="AE73">
        <v>4</v>
      </c>
      <c r="AF73">
        <v>2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2</v>
      </c>
      <c r="AM73">
        <v>0</v>
      </c>
      <c r="AN73">
        <v>0</v>
      </c>
      <c r="AO73">
        <v>0</v>
      </c>
      <c r="AP73">
        <v>4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19</v>
      </c>
      <c r="BP73">
        <v>4</v>
      </c>
      <c r="BQ73">
        <v>7</v>
      </c>
      <c r="BR73">
        <v>2</v>
      </c>
      <c r="BS73">
        <v>3</v>
      </c>
      <c r="BT73">
        <v>2</v>
      </c>
      <c r="BU73">
        <v>0</v>
      </c>
      <c r="BV73">
        <v>0</v>
      </c>
      <c r="BW73">
        <v>0</v>
      </c>
      <c r="BX73">
        <v>1</v>
      </c>
      <c r="BY73">
        <v>0</v>
      </c>
      <c r="BZ73">
        <v>19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1</v>
      </c>
      <c r="CN73">
        <v>1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1</v>
      </c>
      <c r="CY73">
        <v>1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1</v>
      </c>
      <c r="DJ73">
        <v>1</v>
      </c>
      <c r="DK73">
        <v>8</v>
      </c>
      <c r="DL73">
        <v>0</v>
      </c>
      <c r="DM73">
        <v>0</v>
      </c>
      <c r="DN73">
        <v>0</v>
      </c>
      <c r="DO73">
        <v>0</v>
      </c>
      <c r="DP73">
        <v>8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8</v>
      </c>
      <c r="DW73">
        <v>11</v>
      </c>
      <c r="DX73">
        <v>4</v>
      </c>
      <c r="DY73">
        <v>1</v>
      </c>
      <c r="DZ73">
        <v>0</v>
      </c>
      <c r="EA73">
        <v>5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1</v>
      </c>
      <c r="EH73">
        <v>11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</row>
    <row r="74" spans="1:150" ht="12.75">
      <c r="A74">
        <v>69</v>
      </c>
      <c r="B74" t="str">
        <f t="shared" si="9"/>
        <v>060311</v>
      </c>
      <c r="C74" t="str">
        <f t="shared" si="10"/>
        <v>Siedliszcze</v>
      </c>
      <c r="D74" t="str">
        <f t="shared" si="11"/>
        <v>chełmski</v>
      </c>
      <c r="E74" t="str">
        <f t="shared" si="12"/>
        <v>lubelskie</v>
      </c>
      <c r="F74">
        <v>10</v>
      </c>
      <c r="G74" t="str">
        <f>"Sala posiedzeń w Urzędzie Gminy, Szpitalna 15A, 22-130 Siedliszcze"</f>
        <v>Sala posiedzeń w Urzędzie Gminy, Szpitalna 15A, 22-130 Siedliszcze</v>
      </c>
      <c r="H74">
        <v>1448</v>
      </c>
      <c r="I74">
        <v>1448</v>
      </c>
      <c r="J74">
        <v>0</v>
      </c>
      <c r="K74">
        <v>1020</v>
      </c>
      <c r="L74">
        <v>715</v>
      </c>
      <c r="M74">
        <v>305</v>
      </c>
      <c r="N74">
        <v>305</v>
      </c>
      <c r="O74">
        <v>0</v>
      </c>
      <c r="P74">
        <v>0</v>
      </c>
      <c r="Q74">
        <v>4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305</v>
      </c>
      <c r="Z74">
        <v>0</v>
      </c>
      <c r="AA74">
        <v>0</v>
      </c>
      <c r="AB74">
        <v>305</v>
      </c>
      <c r="AC74">
        <v>11</v>
      </c>
      <c r="AD74">
        <v>294</v>
      </c>
      <c r="AE74">
        <v>10</v>
      </c>
      <c r="AF74">
        <v>3</v>
      </c>
      <c r="AG74">
        <v>1</v>
      </c>
      <c r="AH74">
        <v>2</v>
      </c>
      <c r="AI74">
        <v>0</v>
      </c>
      <c r="AJ74">
        <v>0</v>
      </c>
      <c r="AK74">
        <v>0</v>
      </c>
      <c r="AL74">
        <v>2</v>
      </c>
      <c r="AM74">
        <v>0</v>
      </c>
      <c r="AN74">
        <v>0</v>
      </c>
      <c r="AO74">
        <v>2</v>
      </c>
      <c r="AP74">
        <v>10</v>
      </c>
      <c r="AQ74">
        <v>6</v>
      </c>
      <c r="AR74">
        <v>4</v>
      </c>
      <c r="AS74">
        <v>2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</v>
      </c>
      <c r="BC74">
        <v>5</v>
      </c>
      <c r="BD74">
        <v>3</v>
      </c>
      <c r="BE74">
        <v>0</v>
      </c>
      <c r="BF74">
        <v>0</v>
      </c>
      <c r="BG74">
        <v>0</v>
      </c>
      <c r="BH74">
        <v>2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5</v>
      </c>
      <c r="BO74">
        <v>82</v>
      </c>
      <c r="BP74">
        <v>14</v>
      </c>
      <c r="BQ74">
        <v>27</v>
      </c>
      <c r="BR74">
        <v>3</v>
      </c>
      <c r="BS74">
        <v>27</v>
      </c>
      <c r="BT74">
        <v>0</v>
      </c>
      <c r="BU74">
        <v>0</v>
      </c>
      <c r="BV74">
        <v>1</v>
      </c>
      <c r="BW74">
        <v>5</v>
      </c>
      <c r="BX74">
        <v>0</v>
      </c>
      <c r="BY74">
        <v>5</v>
      </c>
      <c r="BZ74">
        <v>82</v>
      </c>
      <c r="CA74">
        <v>19</v>
      </c>
      <c r="CB74">
        <v>7</v>
      </c>
      <c r="CC74">
        <v>0</v>
      </c>
      <c r="CD74">
        <v>10</v>
      </c>
      <c r="CE74">
        <v>1</v>
      </c>
      <c r="CF74">
        <v>0</v>
      </c>
      <c r="CG74">
        <v>0</v>
      </c>
      <c r="CH74">
        <v>0</v>
      </c>
      <c r="CI74">
        <v>0</v>
      </c>
      <c r="CJ74">
        <v>1</v>
      </c>
      <c r="CK74">
        <v>0</v>
      </c>
      <c r="CL74">
        <v>19</v>
      </c>
      <c r="CM74">
        <v>6</v>
      </c>
      <c r="CN74">
        <v>2</v>
      </c>
      <c r="CO74">
        <v>0</v>
      </c>
      <c r="CP74">
        <v>0</v>
      </c>
      <c r="CQ74">
        <v>2</v>
      </c>
      <c r="CR74">
        <v>1</v>
      </c>
      <c r="CS74">
        <v>0</v>
      </c>
      <c r="CT74">
        <v>0</v>
      </c>
      <c r="CU74">
        <v>0</v>
      </c>
      <c r="CV74">
        <v>1</v>
      </c>
      <c r="CW74">
        <v>0</v>
      </c>
      <c r="CX74">
        <v>6</v>
      </c>
      <c r="CY74">
        <v>5</v>
      </c>
      <c r="CZ74">
        <v>2</v>
      </c>
      <c r="DA74">
        <v>0</v>
      </c>
      <c r="DB74">
        <v>1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2</v>
      </c>
      <c r="DJ74">
        <v>5</v>
      </c>
      <c r="DK74">
        <v>98</v>
      </c>
      <c r="DL74">
        <v>6</v>
      </c>
      <c r="DM74">
        <v>2</v>
      </c>
      <c r="DN74">
        <v>0</v>
      </c>
      <c r="DO74">
        <v>0</v>
      </c>
      <c r="DP74">
        <v>87</v>
      </c>
      <c r="DQ74">
        <v>1</v>
      </c>
      <c r="DR74">
        <v>0</v>
      </c>
      <c r="DS74">
        <v>0</v>
      </c>
      <c r="DT74">
        <v>1</v>
      </c>
      <c r="DU74">
        <v>1</v>
      </c>
      <c r="DV74">
        <v>98</v>
      </c>
      <c r="DW74">
        <v>62</v>
      </c>
      <c r="DX74">
        <v>20</v>
      </c>
      <c r="DY74">
        <v>7</v>
      </c>
      <c r="DZ74">
        <v>1</v>
      </c>
      <c r="EA74">
        <v>34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62</v>
      </c>
      <c r="EI74">
        <v>1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1</v>
      </c>
      <c r="EP74">
        <v>0</v>
      </c>
      <c r="EQ74">
        <v>0</v>
      </c>
      <c r="ER74">
        <v>0</v>
      </c>
      <c r="ES74">
        <v>0</v>
      </c>
      <c r="ET74">
        <v>1</v>
      </c>
    </row>
    <row r="75" spans="1:150" ht="12.75">
      <c r="A75">
        <v>70</v>
      </c>
      <c r="B75" t="str">
        <f aca="true" t="shared" si="13" ref="B75:B81">"060312"</f>
        <v>060312</v>
      </c>
      <c r="C75" t="str">
        <f aca="true" t="shared" si="14" ref="C75:C81">"Wierzbica"</f>
        <v>Wierzbica</v>
      </c>
      <c r="D75" t="str">
        <f t="shared" si="11"/>
        <v>chełmski</v>
      </c>
      <c r="E75" t="str">
        <f t="shared" si="12"/>
        <v>lubelskie</v>
      </c>
      <c r="F75">
        <v>1</v>
      </c>
      <c r="G75" t="str">
        <f>"Gminna Biblioteka Publiczna w Wierzbicy Filia w Ochoży, Ochoża 50, 22-150 Wierzbica"</f>
        <v>Gminna Biblioteka Publiczna w Wierzbicy Filia w Ochoży, Ochoża 50, 22-150 Wierzbica</v>
      </c>
      <c r="H75">
        <v>234</v>
      </c>
      <c r="I75">
        <v>234</v>
      </c>
      <c r="J75">
        <v>0</v>
      </c>
      <c r="K75">
        <v>160</v>
      </c>
      <c r="L75">
        <v>116</v>
      </c>
      <c r="M75">
        <v>44</v>
      </c>
      <c r="N75">
        <v>44</v>
      </c>
      <c r="O75">
        <v>0</v>
      </c>
      <c r="P75">
        <v>0</v>
      </c>
      <c r="Q75">
        <v>1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44</v>
      </c>
      <c r="Z75">
        <v>0</v>
      </c>
      <c r="AA75">
        <v>0</v>
      </c>
      <c r="AB75">
        <v>44</v>
      </c>
      <c r="AC75">
        <v>1</v>
      </c>
      <c r="AD75">
        <v>43</v>
      </c>
      <c r="AE75">
        <v>1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1</v>
      </c>
      <c r="AP75">
        <v>1</v>
      </c>
      <c r="AQ75">
        <v>1</v>
      </c>
      <c r="AR75">
        <v>1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13</v>
      </c>
      <c r="BP75">
        <v>8</v>
      </c>
      <c r="BQ75">
        <v>3</v>
      </c>
      <c r="BR75">
        <v>1</v>
      </c>
      <c r="BS75">
        <v>1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13</v>
      </c>
      <c r="CA75">
        <v>1</v>
      </c>
      <c r="CB75">
        <v>1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1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2</v>
      </c>
      <c r="CZ75">
        <v>1</v>
      </c>
      <c r="DA75">
        <v>1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2</v>
      </c>
      <c r="DK75">
        <v>7</v>
      </c>
      <c r="DL75">
        <v>0</v>
      </c>
      <c r="DM75">
        <v>0</v>
      </c>
      <c r="DN75">
        <v>0</v>
      </c>
      <c r="DO75">
        <v>0</v>
      </c>
      <c r="DP75">
        <v>7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7</v>
      </c>
      <c r="DW75">
        <v>18</v>
      </c>
      <c r="DX75">
        <v>3</v>
      </c>
      <c r="DY75">
        <v>2</v>
      </c>
      <c r="DZ75">
        <v>1</v>
      </c>
      <c r="EA75">
        <v>12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18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</row>
    <row r="76" spans="1:150" ht="12.75">
      <c r="A76">
        <v>71</v>
      </c>
      <c r="B76" t="str">
        <f t="shared" si="13"/>
        <v>060312</v>
      </c>
      <c r="C76" t="str">
        <f t="shared" si="14"/>
        <v>Wierzbica</v>
      </c>
      <c r="D76" t="str">
        <f t="shared" si="11"/>
        <v>chełmski</v>
      </c>
      <c r="E76" t="str">
        <f t="shared" si="12"/>
        <v>lubelskie</v>
      </c>
      <c r="F76">
        <v>2</v>
      </c>
      <c r="G76" t="str">
        <f>"Wiejskie Centrum Kulturalno-Rekreacyjne w Olchowcu, Olchowiec 39a, 22-150 Wierzbica"</f>
        <v>Wiejskie Centrum Kulturalno-Rekreacyjne w Olchowcu, Olchowiec 39a, 22-150 Wierzbica</v>
      </c>
      <c r="H76">
        <v>347</v>
      </c>
      <c r="I76">
        <v>347</v>
      </c>
      <c r="J76">
        <v>0</v>
      </c>
      <c r="K76">
        <v>240</v>
      </c>
      <c r="L76">
        <v>181</v>
      </c>
      <c r="M76">
        <v>59</v>
      </c>
      <c r="N76">
        <v>59</v>
      </c>
      <c r="O76">
        <v>0</v>
      </c>
      <c r="P76">
        <v>0</v>
      </c>
      <c r="Q76">
        <v>1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59</v>
      </c>
      <c r="Z76">
        <v>0</v>
      </c>
      <c r="AA76">
        <v>0</v>
      </c>
      <c r="AB76">
        <v>59</v>
      </c>
      <c r="AC76">
        <v>4</v>
      </c>
      <c r="AD76">
        <v>55</v>
      </c>
      <c r="AE76">
        <v>4</v>
      </c>
      <c r="AF76">
        <v>1</v>
      </c>
      <c r="AG76">
        <v>1</v>
      </c>
      <c r="AH76">
        <v>0</v>
      </c>
      <c r="AI76">
        <v>0</v>
      </c>
      <c r="AJ76">
        <v>0</v>
      </c>
      <c r="AK76">
        <v>0</v>
      </c>
      <c r="AL76">
        <v>1</v>
      </c>
      <c r="AM76">
        <v>0</v>
      </c>
      <c r="AN76">
        <v>0</v>
      </c>
      <c r="AO76">
        <v>1</v>
      </c>
      <c r="AP76">
        <v>4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1</v>
      </c>
      <c r="BD76">
        <v>0</v>
      </c>
      <c r="BE76">
        <v>0</v>
      </c>
      <c r="BF76">
        <v>0</v>
      </c>
      <c r="BG76">
        <v>1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1</v>
      </c>
      <c r="BO76">
        <v>15</v>
      </c>
      <c r="BP76">
        <v>3</v>
      </c>
      <c r="BQ76">
        <v>9</v>
      </c>
      <c r="BR76">
        <v>0</v>
      </c>
      <c r="BS76">
        <v>3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15</v>
      </c>
      <c r="CA76">
        <v>1</v>
      </c>
      <c r="CB76">
        <v>1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1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1</v>
      </c>
      <c r="DJ76">
        <v>1</v>
      </c>
      <c r="DK76">
        <v>17</v>
      </c>
      <c r="DL76">
        <v>0</v>
      </c>
      <c r="DM76">
        <v>0</v>
      </c>
      <c r="DN76">
        <v>0</v>
      </c>
      <c r="DO76">
        <v>0</v>
      </c>
      <c r="DP76">
        <v>17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17</v>
      </c>
      <c r="DW76">
        <v>16</v>
      </c>
      <c r="DX76">
        <v>0</v>
      </c>
      <c r="DY76">
        <v>0</v>
      </c>
      <c r="DZ76">
        <v>0</v>
      </c>
      <c r="EA76">
        <v>16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16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</row>
    <row r="77" spans="1:150" ht="12.75">
      <c r="A77">
        <v>72</v>
      </c>
      <c r="B77" t="str">
        <f t="shared" si="13"/>
        <v>060312</v>
      </c>
      <c r="C77" t="str">
        <f t="shared" si="14"/>
        <v>Wierzbica</v>
      </c>
      <c r="D77" t="str">
        <f t="shared" si="11"/>
        <v>chełmski</v>
      </c>
      <c r="E77" t="str">
        <f t="shared" si="12"/>
        <v>lubelskie</v>
      </c>
      <c r="F77">
        <v>3</v>
      </c>
      <c r="G77" t="str">
        <f>"Budynek byłej szkoły, Syczyn 36, 22-150 Wierzbica"</f>
        <v>Budynek byłej szkoły, Syczyn 36, 22-150 Wierzbica</v>
      </c>
      <c r="H77">
        <v>374</v>
      </c>
      <c r="I77">
        <v>374</v>
      </c>
      <c r="J77">
        <v>0</v>
      </c>
      <c r="K77">
        <v>260</v>
      </c>
      <c r="L77">
        <v>181</v>
      </c>
      <c r="M77">
        <v>79</v>
      </c>
      <c r="N77">
        <v>79</v>
      </c>
      <c r="O77">
        <v>0</v>
      </c>
      <c r="P77">
        <v>0</v>
      </c>
      <c r="Q77">
        <v>1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79</v>
      </c>
      <c r="Z77">
        <v>0</v>
      </c>
      <c r="AA77">
        <v>0</v>
      </c>
      <c r="AB77">
        <v>79</v>
      </c>
      <c r="AC77">
        <v>3</v>
      </c>
      <c r="AD77">
        <v>76</v>
      </c>
      <c r="AE77">
        <v>3</v>
      </c>
      <c r="AF77">
        <v>1</v>
      </c>
      <c r="AG77">
        <v>1</v>
      </c>
      <c r="AH77">
        <v>1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3</v>
      </c>
      <c r="AQ77">
        <v>1</v>
      </c>
      <c r="AR77">
        <v>1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</v>
      </c>
      <c r="BC77">
        <v>3</v>
      </c>
      <c r="BD77">
        <v>0</v>
      </c>
      <c r="BE77">
        <v>0</v>
      </c>
      <c r="BF77">
        <v>0</v>
      </c>
      <c r="BG77">
        <v>0</v>
      </c>
      <c r="BH77">
        <v>1</v>
      </c>
      <c r="BI77">
        <v>2</v>
      </c>
      <c r="BJ77">
        <v>0</v>
      </c>
      <c r="BK77">
        <v>0</v>
      </c>
      <c r="BL77">
        <v>0</v>
      </c>
      <c r="BM77">
        <v>0</v>
      </c>
      <c r="BN77">
        <v>3</v>
      </c>
      <c r="BO77">
        <v>26</v>
      </c>
      <c r="BP77">
        <v>0</v>
      </c>
      <c r="BQ77">
        <v>23</v>
      </c>
      <c r="BR77">
        <v>3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26</v>
      </c>
      <c r="CA77">
        <v>2</v>
      </c>
      <c r="CB77">
        <v>1</v>
      </c>
      <c r="CC77">
        <v>1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2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24</v>
      </c>
      <c r="DL77">
        <v>0</v>
      </c>
      <c r="DM77">
        <v>1</v>
      </c>
      <c r="DN77">
        <v>0</v>
      </c>
      <c r="DO77">
        <v>0</v>
      </c>
      <c r="DP77">
        <v>23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24</v>
      </c>
      <c r="DW77">
        <v>17</v>
      </c>
      <c r="DX77">
        <v>5</v>
      </c>
      <c r="DY77">
        <v>0</v>
      </c>
      <c r="DZ77">
        <v>0</v>
      </c>
      <c r="EA77">
        <v>12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17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</row>
    <row r="78" spans="1:150" ht="12.75">
      <c r="A78">
        <v>73</v>
      </c>
      <c r="B78" t="str">
        <f t="shared" si="13"/>
        <v>060312</v>
      </c>
      <c r="C78" t="str">
        <f t="shared" si="14"/>
        <v>Wierzbica</v>
      </c>
      <c r="D78" t="str">
        <f t="shared" si="11"/>
        <v>chełmski</v>
      </c>
      <c r="E78" t="str">
        <f t="shared" si="12"/>
        <v>lubelskie</v>
      </c>
      <c r="F78">
        <v>4</v>
      </c>
      <c r="G78" t="str">
        <f>"Urząd Gminy Wierzbica, ul.Włodawska 1, Wierzbica-Osiedle, 22-150 Wierzbica"</f>
        <v>Urząd Gminy Wierzbica, ul.Włodawska 1, Wierzbica-Osiedle, 22-150 Wierzbica</v>
      </c>
      <c r="H78">
        <v>2153</v>
      </c>
      <c r="I78">
        <v>2153</v>
      </c>
      <c r="J78">
        <v>0</v>
      </c>
      <c r="K78">
        <v>1500</v>
      </c>
      <c r="L78">
        <v>1026</v>
      </c>
      <c r="M78">
        <v>474</v>
      </c>
      <c r="N78">
        <v>474</v>
      </c>
      <c r="O78">
        <v>0</v>
      </c>
      <c r="P78">
        <v>0</v>
      </c>
      <c r="Q78">
        <v>2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474</v>
      </c>
      <c r="Z78">
        <v>0</v>
      </c>
      <c r="AA78">
        <v>0</v>
      </c>
      <c r="AB78">
        <v>474</v>
      </c>
      <c r="AC78">
        <v>22</v>
      </c>
      <c r="AD78">
        <v>452</v>
      </c>
      <c r="AE78">
        <v>6</v>
      </c>
      <c r="AF78">
        <v>0</v>
      </c>
      <c r="AG78">
        <v>0</v>
      </c>
      <c r="AH78">
        <v>1</v>
      </c>
      <c r="AI78">
        <v>0</v>
      </c>
      <c r="AJ78">
        <v>0</v>
      </c>
      <c r="AK78">
        <v>1</v>
      </c>
      <c r="AL78">
        <v>3</v>
      </c>
      <c r="AM78">
        <v>1</v>
      </c>
      <c r="AN78">
        <v>0</v>
      </c>
      <c r="AO78">
        <v>0</v>
      </c>
      <c r="AP78">
        <v>6</v>
      </c>
      <c r="AQ78">
        <v>3</v>
      </c>
      <c r="AR78">
        <v>1</v>
      </c>
      <c r="AS78">
        <v>0</v>
      </c>
      <c r="AT78">
        <v>0</v>
      </c>
      <c r="AU78">
        <v>1</v>
      </c>
      <c r="AV78">
        <v>0</v>
      </c>
      <c r="AW78">
        <v>1</v>
      </c>
      <c r="AX78">
        <v>0</v>
      </c>
      <c r="AY78">
        <v>0</v>
      </c>
      <c r="AZ78">
        <v>0</v>
      </c>
      <c r="BA78">
        <v>0</v>
      </c>
      <c r="BB78">
        <v>3</v>
      </c>
      <c r="BC78">
        <v>10</v>
      </c>
      <c r="BD78">
        <v>3</v>
      </c>
      <c r="BE78">
        <v>0</v>
      </c>
      <c r="BF78">
        <v>1</v>
      </c>
      <c r="BG78">
        <v>1</v>
      </c>
      <c r="BH78">
        <v>5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10</v>
      </c>
      <c r="BO78">
        <v>152</v>
      </c>
      <c r="BP78">
        <v>19</v>
      </c>
      <c r="BQ78">
        <v>97</v>
      </c>
      <c r="BR78">
        <v>2</v>
      </c>
      <c r="BS78">
        <v>16</v>
      </c>
      <c r="BT78">
        <v>0</v>
      </c>
      <c r="BU78">
        <v>1</v>
      </c>
      <c r="BV78">
        <v>1</v>
      </c>
      <c r="BW78">
        <v>13</v>
      </c>
      <c r="BX78">
        <v>1</v>
      </c>
      <c r="BY78">
        <v>2</v>
      </c>
      <c r="BZ78">
        <v>152</v>
      </c>
      <c r="CA78">
        <v>13</v>
      </c>
      <c r="CB78">
        <v>4</v>
      </c>
      <c r="CC78">
        <v>8</v>
      </c>
      <c r="CD78">
        <v>0</v>
      </c>
      <c r="CE78">
        <v>0</v>
      </c>
      <c r="CF78">
        <v>0</v>
      </c>
      <c r="CG78">
        <v>0</v>
      </c>
      <c r="CH78">
        <v>1</v>
      </c>
      <c r="CI78">
        <v>0</v>
      </c>
      <c r="CJ78">
        <v>0</v>
      </c>
      <c r="CK78">
        <v>0</v>
      </c>
      <c r="CL78">
        <v>13</v>
      </c>
      <c r="CM78">
        <v>5</v>
      </c>
      <c r="CN78">
        <v>3</v>
      </c>
      <c r="CO78">
        <v>0</v>
      </c>
      <c r="CP78">
        <v>1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1</v>
      </c>
      <c r="CX78">
        <v>5</v>
      </c>
      <c r="CY78">
        <v>19</v>
      </c>
      <c r="CZ78">
        <v>7</v>
      </c>
      <c r="DA78">
        <v>1</v>
      </c>
      <c r="DB78">
        <v>1</v>
      </c>
      <c r="DC78">
        <v>1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9</v>
      </c>
      <c r="DJ78">
        <v>19</v>
      </c>
      <c r="DK78">
        <v>162</v>
      </c>
      <c r="DL78">
        <v>0</v>
      </c>
      <c r="DM78">
        <v>0</v>
      </c>
      <c r="DN78">
        <v>1</v>
      </c>
      <c r="DO78">
        <v>1</v>
      </c>
      <c r="DP78">
        <v>160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162</v>
      </c>
      <c r="DW78">
        <v>82</v>
      </c>
      <c r="DX78">
        <v>13</v>
      </c>
      <c r="DY78">
        <v>6</v>
      </c>
      <c r="DZ78">
        <v>1</v>
      </c>
      <c r="EA78">
        <v>62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82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</row>
    <row r="79" spans="1:150" ht="12.75">
      <c r="A79">
        <v>74</v>
      </c>
      <c r="B79" t="str">
        <f t="shared" si="13"/>
        <v>060312</v>
      </c>
      <c r="C79" t="str">
        <f t="shared" si="14"/>
        <v>Wierzbica</v>
      </c>
      <c r="D79" t="str">
        <f t="shared" si="11"/>
        <v>chełmski</v>
      </c>
      <c r="E79" t="str">
        <f t="shared" si="12"/>
        <v>lubelskie</v>
      </c>
      <c r="F79">
        <v>5</v>
      </c>
      <c r="G79" t="str">
        <f>"Wiejski Dom Kultury w Chylinie, Chylin 31a, 22-150 Wierzbica"</f>
        <v>Wiejski Dom Kultury w Chylinie, Chylin 31a, 22-150 Wierzbica</v>
      </c>
      <c r="H79">
        <v>288</v>
      </c>
      <c r="I79">
        <v>288</v>
      </c>
      <c r="J79">
        <v>0</v>
      </c>
      <c r="K79">
        <v>200</v>
      </c>
      <c r="L79">
        <v>123</v>
      </c>
      <c r="M79">
        <v>77</v>
      </c>
      <c r="N79">
        <v>77</v>
      </c>
      <c r="O79">
        <v>0</v>
      </c>
      <c r="P79">
        <v>0</v>
      </c>
      <c r="Q79">
        <v>2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77</v>
      </c>
      <c r="Z79">
        <v>0</v>
      </c>
      <c r="AA79">
        <v>0</v>
      </c>
      <c r="AB79">
        <v>77</v>
      </c>
      <c r="AC79">
        <v>3</v>
      </c>
      <c r="AD79">
        <v>74</v>
      </c>
      <c r="AE79">
        <v>2</v>
      </c>
      <c r="AF79">
        <v>1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1</v>
      </c>
      <c r="AP79">
        <v>2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1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1</v>
      </c>
      <c r="BJ79">
        <v>0</v>
      </c>
      <c r="BK79">
        <v>0</v>
      </c>
      <c r="BL79">
        <v>0</v>
      </c>
      <c r="BM79">
        <v>0</v>
      </c>
      <c r="BN79">
        <v>1</v>
      </c>
      <c r="BO79">
        <v>16</v>
      </c>
      <c r="BP79">
        <v>3</v>
      </c>
      <c r="BQ79">
        <v>11</v>
      </c>
      <c r="BR79">
        <v>0</v>
      </c>
      <c r="BS79">
        <v>1</v>
      </c>
      <c r="BT79">
        <v>0</v>
      </c>
      <c r="BU79">
        <v>0</v>
      </c>
      <c r="BV79">
        <v>0</v>
      </c>
      <c r="BW79">
        <v>1</v>
      </c>
      <c r="BX79">
        <v>0</v>
      </c>
      <c r="BY79">
        <v>0</v>
      </c>
      <c r="BZ79">
        <v>16</v>
      </c>
      <c r="CA79">
        <v>2</v>
      </c>
      <c r="CB79">
        <v>1</v>
      </c>
      <c r="CC79">
        <v>0</v>
      </c>
      <c r="CD79">
        <v>0</v>
      </c>
      <c r="CE79">
        <v>0</v>
      </c>
      <c r="CF79">
        <v>1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2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2</v>
      </c>
      <c r="CZ79">
        <v>1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1</v>
      </c>
      <c r="DH79">
        <v>0</v>
      </c>
      <c r="DI79">
        <v>0</v>
      </c>
      <c r="DJ79">
        <v>2</v>
      </c>
      <c r="DK79">
        <v>37</v>
      </c>
      <c r="DL79">
        <v>0</v>
      </c>
      <c r="DM79">
        <v>0</v>
      </c>
      <c r="DN79">
        <v>0</v>
      </c>
      <c r="DO79">
        <v>0</v>
      </c>
      <c r="DP79">
        <v>37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37</v>
      </c>
      <c r="DW79">
        <v>14</v>
      </c>
      <c r="DX79">
        <v>6</v>
      </c>
      <c r="DY79">
        <v>0</v>
      </c>
      <c r="DZ79">
        <v>0</v>
      </c>
      <c r="EA79">
        <v>8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14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</row>
    <row r="80" spans="1:150" ht="12.75">
      <c r="A80">
        <v>75</v>
      </c>
      <c r="B80" t="str">
        <f t="shared" si="13"/>
        <v>060312</v>
      </c>
      <c r="C80" t="str">
        <f t="shared" si="14"/>
        <v>Wierzbica</v>
      </c>
      <c r="D80" t="str">
        <f t="shared" si="11"/>
        <v>chełmski</v>
      </c>
      <c r="E80" t="str">
        <f t="shared" si="12"/>
        <v>lubelskie</v>
      </c>
      <c r="F80">
        <v>6</v>
      </c>
      <c r="G80" t="str">
        <f>"Szkoła Filialna w Wólce Tarnowskiej, Wólka Tarnowska 53b, 22-150 Wierzbica"</f>
        <v>Szkoła Filialna w Wólce Tarnowskiej, Wólka Tarnowska 53b, 22-150 Wierzbica</v>
      </c>
      <c r="H80">
        <v>627</v>
      </c>
      <c r="I80">
        <v>627</v>
      </c>
      <c r="J80">
        <v>0</v>
      </c>
      <c r="K80">
        <v>440</v>
      </c>
      <c r="L80">
        <v>338</v>
      </c>
      <c r="M80">
        <v>102</v>
      </c>
      <c r="N80">
        <v>102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101</v>
      </c>
      <c r="Z80">
        <v>0</v>
      </c>
      <c r="AA80">
        <v>0</v>
      </c>
      <c r="AB80">
        <v>101</v>
      </c>
      <c r="AC80">
        <v>11</v>
      </c>
      <c r="AD80">
        <v>90</v>
      </c>
      <c r="AE80">
        <v>1</v>
      </c>
      <c r="AF80">
        <v>1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1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2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2</v>
      </c>
      <c r="BM80">
        <v>0</v>
      </c>
      <c r="BN80">
        <v>2</v>
      </c>
      <c r="BO80">
        <v>16</v>
      </c>
      <c r="BP80">
        <v>2</v>
      </c>
      <c r="BQ80">
        <v>4</v>
      </c>
      <c r="BR80">
        <v>0</v>
      </c>
      <c r="BS80">
        <v>7</v>
      </c>
      <c r="BT80">
        <v>2</v>
      </c>
      <c r="BU80">
        <v>0</v>
      </c>
      <c r="BV80">
        <v>0</v>
      </c>
      <c r="BW80">
        <v>1</v>
      </c>
      <c r="BX80">
        <v>0</v>
      </c>
      <c r="BY80">
        <v>0</v>
      </c>
      <c r="BZ80">
        <v>16</v>
      </c>
      <c r="CA80">
        <v>2</v>
      </c>
      <c r="CB80">
        <v>2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2</v>
      </c>
      <c r="CM80">
        <v>1</v>
      </c>
      <c r="CN80">
        <v>0</v>
      </c>
      <c r="CO80">
        <v>0</v>
      </c>
      <c r="CP80">
        <v>1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1</v>
      </c>
      <c r="CY80">
        <v>1</v>
      </c>
      <c r="CZ80">
        <v>1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1</v>
      </c>
      <c r="DK80">
        <v>28</v>
      </c>
      <c r="DL80">
        <v>1</v>
      </c>
      <c r="DM80">
        <v>0</v>
      </c>
      <c r="DN80">
        <v>1</v>
      </c>
      <c r="DO80">
        <v>0</v>
      </c>
      <c r="DP80">
        <v>26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28</v>
      </c>
      <c r="DW80">
        <v>39</v>
      </c>
      <c r="DX80">
        <v>27</v>
      </c>
      <c r="DY80">
        <v>0</v>
      </c>
      <c r="DZ80">
        <v>0</v>
      </c>
      <c r="EA80">
        <v>12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39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</row>
    <row r="81" spans="1:150" ht="12.75">
      <c r="A81">
        <v>76</v>
      </c>
      <c r="B81" t="str">
        <f t="shared" si="13"/>
        <v>060312</v>
      </c>
      <c r="C81" t="str">
        <f t="shared" si="14"/>
        <v>Wierzbica</v>
      </c>
      <c r="D81" t="str">
        <f t="shared" si="11"/>
        <v>chełmski</v>
      </c>
      <c r="E81" t="str">
        <f t="shared" si="12"/>
        <v>lubelskie</v>
      </c>
      <c r="F81">
        <v>7</v>
      </c>
      <c r="G81" t="str">
        <f>"Szkoła Podstawowa w Święcicy, Święcica 58, 22-150 Wierzbica"</f>
        <v>Szkoła Podstawowa w Święcicy, Święcica 58, 22-150 Wierzbica</v>
      </c>
      <c r="H81">
        <v>273</v>
      </c>
      <c r="I81">
        <v>273</v>
      </c>
      <c r="J81">
        <v>0</v>
      </c>
      <c r="K81">
        <v>188</v>
      </c>
      <c r="L81">
        <v>140</v>
      </c>
      <c r="M81">
        <v>48</v>
      </c>
      <c r="N81">
        <v>48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48</v>
      </c>
      <c r="Z81">
        <v>0</v>
      </c>
      <c r="AA81">
        <v>0</v>
      </c>
      <c r="AB81">
        <v>48</v>
      </c>
      <c r="AC81">
        <v>0</v>
      </c>
      <c r="AD81">
        <v>48</v>
      </c>
      <c r="AE81">
        <v>2</v>
      </c>
      <c r="AF81">
        <v>2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2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2</v>
      </c>
      <c r="BD81">
        <v>0</v>
      </c>
      <c r="BE81">
        <v>0</v>
      </c>
      <c r="BF81">
        <v>2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2</v>
      </c>
      <c r="BO81">
        <v>12</v>
      </c>
      <c r="BP81">
        <v>3</v>
      </c>
      <c r="BQ81">
        <v>4</v>
      </c>
      <c r="BR81">
        <v>0</v>
      </c>
      <c r="BS81">
        <v>3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2</v>
      </c>
      <c r="BZ81">
        <v>12</v>
      </c>
      <c r="CA81">
        <v>1</v>
      </c>
      <c r="CB81">
        <v>1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1</v>
      </c>
      <c r="CM81">
        <v>1</v>
      </c>
      <c r="CN81">
        <v>0</v>
      </c>
      <c r="CO81">
        <v>0</v>
      </c>
      <c r="CP81">
        <v>0</v>
      </c>
      <c r="CQ81">
        <v>1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1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11</v>
      </c>
      <c r="DL81">
        <v>2</v>
      </c>
      <c r="DM81">
        <v>0</v>
      </c>
      <c r="DN81">
        <v>2</v>
      </c>
      <c r="DO81">
        <v>0</v>
      </c>
      <c r="DP81">
        <v>7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11</v>
      </c>
      <c r="DW81">
        <v>19</v>
      </c>
      <c r="DX81">
        <v>0</v>
      </c>
      <c r="DY81">
        <v>1</v>
      </c>
      <c r="DZ81">
        <v>0</v>
      </c>
      <c r="EA81">
        <v>18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19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0</v>
      </c>
      <c r="ET81">
        <v>0</v>
      </c>
    </row>
    <row r="82" spans="1:150" ht="12.75">
      <c r="A82">
        <v>77</v>
      </c>
      <c r="B82" t="str">
        <f>"060313"</f>
        <v>060313</v>
      </c>
      <c r="C82" t="str">
        <f>"Wojsławice"</f>
        <v>Wojsławice</v>
      </c>
      <c r="D82" t="str">
        <f t="shared" si="11"/>
        <v>chełmski</v>
      </c>
      <c r="E82" t="str">
        <f t="shared" si="12"/>
        <v>lubelskie</v>
      </c>
      <c r="F82">
        <v>1</v>
      </c>
      <c r="G82" t="str">
        <f>"Remiza OSP, Turowiec 35, 22-120 Wojsławice"</f>
        <v>Remiza OSP, Turowiec 35, 22-120 Wojsławice</v>
      </c>
      <c r="H82">
        <v>637</v>
      </c>
      <c r="I82">
        <v>637</v>
      </c>
      <c r="J82">
        <v>0</v>
      </c>
      <c r="K82">
        <v>450</v>
      </c>
      <c r="L82">
        <v>307</v>
      </c>
      <c r="M82">
        <v>143</v>
      </c>
      <c r="N82">
        <v>143</v>
      </c>
      <c r="O82">
        <v>0</v>
      </c>
      <c r="P82">
        <v>0</v>
      </c>
      <c r="Q82">
        <v>2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143</v>
      </c>
      <c r="Z82">
        <v>0</v>
      </c>
      <c r="AA82">
        <v>0</v>
      </c>
      <c r="AB82">
        <v>143</v>
      </c>
      <c r="AC82">
        <v>8</v>
      </c>
      <c r="AD82">
        <v>135</v>
      </c>
      <c r="AE82">
        <v>7</v>
      </c>
      <c r="AF82">
        <v>0</v>
      </c>
      <c r="AG82">
        <v>0</v>
      </c>
      <c r="AH82">
        <v>2</v>
      </c>
      <c r="AI82">
        <v>0</v>
      </c>
      <c r="AJ82">
        <v>0</v>
      </c>
      <c r="AK82">
        <v>3</v>
      </c>
      <c r="AL82">
        <v>0</v>
      </c>
      <c r="AM82">
        <v>0</v>
      </c>
      <c r="AN82">
        <v>0</v>
      </c>
      <c r="AO82">
        <v>2</v>
      </c>
      <c r="AP82">
        <v>7</v>
      </c>
      <c r="AQ82">
        <v>1</v>
      </c>
      <c r="AR82">
        <v>0</v>
      </c>
      <c r="AS82">
        <v>0</v>
      </c>
      <c r="AT82">
        <v>1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</v>
      </c>
      <c r="BC82">
        <v>1</v>
      </c>
      <c r="BD82">
        <v>0</v>
      </c>
      <c r="BE82">
        <v>0</v>
      </c>
      <c r="BF82">
        <v>0</v>
      </c>
      <c r="BG82">
        <v>0</v>
      </c>
      <c r="BH82">
        <v>1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1</v>
      </c>
      <c r="BO82">
        <v>69</v>
      </c>
      <c r="BP82">
        <v>16</v>
      </c>
      <c r="BQ82">
        <v>21</v>
      </c>
      <c r="BR82">
        <v>1</v>
      </c>
      <c r="BS82">
        <v>26</v>
      </c>
      <c r="BT82">
        <v>1</v>
      </c>
      <c r="BU82">
        <v>2</v>
      </c>
      <c r="BV82">
        <v>0</v>
      </c>
      <c r="BW82">
        <v>1</v>
      </c>
      <c r="BX82">
        <v>1</v>
      </c>
      <c r="BY82">
        <v>0</v>
      </c>
      <c r="BZ82">
        <v>69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1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1</v>
      </c>
      <c r="CU82">
        <v>0</v>
      </c>
      <c r="CV82">
        <v>0</v>
      </c>
      <c r="CW82">
        <v>0</v>
      </c>
      <c r="CX82">
        <v>1</v>
      </c>
      <c r="CY82">
        <v>4</v>
      </c>
      <c r="CZ82">
        <v>0</v>
      </c>
      <c r="DA82">
        <v>1</v>
      </c>
      <c r="DB82">
        <v>0</v>
      </c>
      <c r="DC82">
        <v>0</v>
      </c>
      <c r="DD82">
        <v>0</v>
      </c>
      <c r="DE82">
        <v>0</v>
      </c>
      <c r="DF82">
        <v>1</v>
      </c>
      <c r="DG82">
        <v>1</v>
      </c>
      <c r="DH82">
        <v>0</v>
      </c>
      <c r="DI82">
        <v>1</v>
      </c>
      <c r="DJ82">
        <v>4</v>
      </c>
      <c r="DK82">
        <v>5</v>
      </c>
      <c r="DL82">
        <v>0</v>
      </c>
      <c r="DM82">
        <v>0</v>
      </c>
      <c r="DN82">
        <v>0</v>
      </c>
      <c r="DO82">
        <v>0</v>
      </c>
      <c r="DP82">
        <v>4</v>
      </c>
      <c r="DQ82">
        <v>0</v>
      </c>
      <c r="DR82">
        <v>0</v>
      </c>
      <c r="DS82">
        <v>0</v>
      </c>
      <c r="DT82">
        <v>0</v>
      </c>
      <c r="DU82">
        <v>1</v>
      </c>
      <c r="DV82">
        <v>5</v>
      </c>
      <c r="DW82">
        <v>47</v>
      </c>
      <c r="DX82">
        <v>5</v>
      </c>
      <c r="DY82">
        <v>5</v>
      </c>
      <c r="DZ82">
        <v>0</v>
      </c>
      <c r="EA82">
        <v>37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47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</row>
    <row r="83" spans="1:150" ht="12.75">
      <c r="A83">
        <v>78</v>
      </c>
      <c r="B83" t="str">
        <f>"060313"</f>
        <v>060313</v>
      </c>
      <c r="C83" t="str">
        <f>"Wojsławice"</f>
        <v>Wojsławice</v>
      </c>
      <c r="D83" t="str">
        <f t="shared" si="11"/>
        <v>chełmski</v>
      </c>
      <c r="E83" t="str">
        <f t="shared" si="12"/>
        <v>lubelskie</v>
      </c>
      <c r="F83">
        <v>2</v>
      </c>
      <c r="G83" t="str">
        <f>"Remiza OSP, Rozięcin 41, 22-120 Wojsławice"</f>
        <v>Remiza OSP, Rozięcin 41, 22-120 Wojsławice</v>
      </c>
      <c r="H83">
        <v>432</v>
      </c>
      <c r="I83">
        <v>432</v>
      </c>
      <c r="J83">
        <v>0</v>
      </c>
      <c r="K83">
        <v>300</v>
      </c>
      <c r="L83">
        <v>203</v>
      </c>
      <c r="M83">
        <v>97</v>
      </c>
      <c r="N83">
        <v>97</v>
      </c>
      <c r="O83">
        <v>0</v>
      </c>
      <c r="P83">
        <v>0</v>
      </c>
      <c r="Q83">
        <v>1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97</v>
      </c>
      <c r="Z83">
        <v>0</v>
      </c>
      <c r="AA83">
        <v>0</v>
      </c>
      <c r="AB83">
        <v>97</v>
      </c>
      <c r="AC83">
        <v>2</v>
      </c>
      <c r="AD83">
        <v>95</v>
      </c>
      <c r="AE83">
        <v>3</v>
      </c>
      <c r="AF83">
        <v>0</v>
      </c>
      <c r="AG83">
        <v>1</v>
      </c>
      <c r="AH83">
        <v>1</v>
      </c>
      <c r="AI83">
        <v>0</v>
      </c>
      <c r="AJ83">
        <v>0</v>
      </c>
      <c r="AK83">
        <v>0</v>
      </c>
      <c r="AL83">
        <v>0</v>
      </c>
      <c r="AM83">
        <v>1</v>
      </c>
      <c r="AN83">
        <v>0</v>
      </c>
      <c r="AO83">
        <v>0</v>
      </c>
      <c r="AP83">
        <v>3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6</v>
      </c>
      <c r="BD83">
        <v>0</v>
      </c>
      <c r="BE83">
        <v>0</v>
      </c>
      <c r="BF83">
        <v>0</v>
      </c>
      <c r="BG83">
        <v>0</v>
      </c>
      <c r="BH83">
        <v>2</v>
      </c>
      <c r="BI83">
        <v>0</v>
      </c>
      <c r="BJ83">
        <v>3</v>
      </c>
      <c r="BK83">
        <v>1</v>
      </c>
      <c r="BL83">
        <v>0</v>
      </c>
      <c r="BM83">
        <v>0</v>
      </c>
      <c r="BN83">
        <v>6</v>
      </c>
      <c r="BO83">
        <v>46</v>
      </c>
      <c r="BP83">
        <v>12</v>
      </c>
      <c r="BQ83">
        <v>19</v>
      </c>
      <c r="BR83">
        <v>2</v>
      </c>
      <c r="BS83">
        <v>10</v>
      </c>
      <c r="BT83">
        <v>2</v>
      </c>
      <c r="BU83">
        <v>0</v>
      </c>
      <c r="BV83">
        <v>0</v>
      </c>
      <c r="BW83">
        <v>1</v>
      </c>
      <c r="BX83">
        <v>0</v>
      </c>
      <c r="BY83">
        <v>0</v>
      </c>
      <c r="BZ83">
        <v>46</v>
      </c>
      <c r="CA83">
        <v>2</v>
      </c>
      <c r="CB83">
        <v>1</v>
      </c>
      <c r="CC83">
        <v>0</v>
      </c>
      <c r="CD83">
        <v>1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2</v>
      </c>
      <c r="CM83">
        <v>5</v>
      </c>
      <c r="CN83">
        <v>5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5</v>
      </c>
      <c r="CY83">
        <v>2</v>
      </c>
      <c r="CZ83">
        <v>0</v>
      </c>
      <c r="DA83">
        <v>1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1</v>
      </c>
      <c r="DJ83">
        <v>2</v>
      </c>
      <c r="DK83">
        <v>5</v>
      </c>
      <c r="DL83">
        <v>0</v>
      </c>
      <c r="DM83">
        <v>2</v>
      </c>
      <c r="DN83">
        <v>0</v>
      </c>
      <c r="DO83">
        <v>0</v>
      </c>
      <c r="DP83">
        <v>3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5</v>
      </c>
      <c r="DW83">
        <v>26</v>
      </c>
      <c r="DX83">
        <v>2</v>
      </c>
      <c r="DY83">
        <v>3</v>
      </c>
      <c r="DZ83">
        <v>0</v>
      </c>
      <c r="EA83">
        <v>21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26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</row>
    <row r="84" spans="1:150" ht="12.75">
      <c r="A84">
        <v>79</v>
      </c>
      <c r="B84" t="str">
        <f>"060313"</f>
        <v>060313</v>
      </c>
      <c r="C84" t="str">
        <f>"Wojsławice"</f>
        <v>Wojsławice</v>
      </c>
      <c r="D84" t="str">
        <f t="shared" si="11"/>
        <v>chełmski</v>
      </c>
      <c r="E84" t="str">
        <f t="shared" si="12"/>
        <v>lubelskie</v>
      </c>
      <c r="F84">
        <v>3</v>
      </c>
      <c r="G84" t="str">
        <f>"Dom Kultury, Uchańska 9, 22-120 Wojsławice"</f>
        <v>Dom Kultury, Uchańska 9, 22-120 Wojsławice</v>
      </c>
      <c r="H84">
        <v>1385</v>
      </c>
      <c r="I84">
        <v>1385</v>
      </c>
      <c r="J84">
        <v>0</v>
      </c>
      <c r="K84">
        <v>970</v>
      </c>
      <c r="L84">
        <v>674</v>
      </c>
      <c r="M84">
        <v>296</v>
      </c>
      <c r="N84">
        <v>296</v>
      </c>
      <c r="O84">
        <v>0</v>
      </c>
      <c r="P84">
        <v>1</v>
      </c>
      <c r="Q84">
        <v>1</v>
      </c>
      <c r="R84">
        <v>1</v>
      </c>
      <c r="S84">
        <v>1</v>
      </c>
      <c r="T84">
        <v>0</v>
      </c>
      <c r="U84">
        <v>0</v>
      </c>
      <c r="V84">
        <v>0</v>
      </c>
      <c r="W84">
        <v>0</v>
      </c>
      <c r="X84">
        <v>1</v>
      </c>
      <c r="Y84">
        <v>296</v>
      </c>
      <c r="Z84">
        <v>1</v>
      </c>
      <c r="AA84">
        <v>0</v>
      </c>
      <c r="AB84">
        <v>296</v>
      </c>
      <c r="AC84">
        <v>4</v>
      </c>
      <c r="AD84">
        <v>292</v>
      </c>
      <c r="AE84">
        <v>16</v>
      </c>
      <c r="AF84">
        <v>11</v>
      </c>
      <c r="AG84">
        <v>0</v>
      </c>
      <c r="AH84">
        <v>2</v>
      </c>
      <c r="AI84">
        <v>0</v>
      </c>
      <c r="AJ84">
        <v>1</v>
      </c>
      <c r="AK84">
        <v>0</v>
      </c>
      <c r="AL84">
        <v>2</v>
      </c>
      <c r="AM84">
        <v>0</v>
      </c>
      <c r="AN84">
        <v>0</v>
      </c>
      <c r="AO84">
        <v>0</v>
      </c>
      <c r="AP84">
        <v>16</v>
      </c>
      <c r="AQ84">
        <v>7</v>
      </c>
      <c r="AR84">
        <v>3</v>
      </c>
      <c r="AS84">
        <v>1</v>
      </c>
      <c r="AT84">
        <v>0</v>
      </c>
      <c r="AU84">
        <v>0</v>
      </c>
      <c r="AV84">
        <v>1</v>
      </c>
      <c r="AW84">
        <v>0</v>
      </c>
      <c r="AX84">
        <v>0</v>
      </c>
      <c r="AY84">
        <v>1</v>
      </c>
      <c r="AZ84">
        <v>0</v>
      </c>
      <c r="BA84">
        <v>1</v>
      </c>
      <c r="BB84">
        <v>7</v>
      </c>
      <c r="BC84">
        <v>14</v>
      </c>
      <c r="BD84">
        <v>6</v>
      </c>
      <c r="BE84">
        <v>0</v>
      </c>
      <c r="BF84">
        <v>1</v>
      </c>
      <c r="BG84">
        <v>1</v>
      </c>
      <c r="BH84">
        <v>4</v>
      </c>
      <c r="BI84">
        <v>0</v>
      </c>
      <c r="BJ84">
        <v>1</v>
      </c>
      <c r="BK84">
        <v>1</v>
      </c>
      <c r="BL84">
        <v>0</v>
      </c>
      <c r="BM84">
        <v>0</v>
      </c>
      <c r="BN84">
        <v>14</v>
      </c>
      <c r="BO84">
        <v>85</v>
      </c>
      <c r="BP84">
        <v>9</v>
      </c>
      <c r="BQ84">
        <v>27</v>
      </c>
      <c r="BR84">
        <v>12</v>
      </c>
      <c r="BS84">
        <v>33</v>
      </c>
      <c r="BT84">
        <v>0</v>
      </c>
      <c r="BU84">
        <v>0</v>
      </c>
      <c r="BV84">
        <v>0</v>
      </c>
      <c r="BW84">
        <v>3</v>
      </c>
      <c r="BX84">
        <v>0</v>
      </c>
      <c r="BY84">
        <v>1</v>
      </c>
      <c r="BZ84">
        <v>85</v>
      </c>
      <c r="CA84">
        <v>8</v>
      </c>
      <c r="CB84">
        <v>7</v>
      </c>
      <c r="CC84">
        <v>0</v>
      </c>
      <c r="CD84">
        <v>0</v>
      </c>
      <c r="CE84">
        <v>0</v>
      </c>
      <c r="CF84">
        <v>1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8</v>
      </c>
      <c r="CM84">
        <v>5</v>
      </c>
      <c r="CN84">
        <v>5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5</v>
      </c>
      <c r="CY84">
        <v>21</v>
      </c>
      <c r="CZ84">
        <v>11</v>
      </c>
      <c r="DA84">
        <v>2</v>
      </c>
      <c r="DB84">
        <v>1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7</v>
      </c>
      <c r="DJ84">
        <v>21</v>
      </c>
      <c r="DK84">
        <v>39</v>
      </c>
      <c r="DL84">
        <v>2</v>
      </c>
      <c r="DM84">
        <v>1</v>
      </c>
      <c r="DN84">
        <v>0</v>
      </c>
      <c r="DO84">
        <v>0</v>
      </c>
      <c r="DP84">
        <v>35</v>
      </c>
      <c r="DQ84">
        <v>1</v>
      </c>
      <c r="DR84">
        <v>0</v>
      </c>
      <c r="DS84">
        <v>0</v>
      </c>
      <c r="DT84">
        <v>0</v>
      </c>
      <c r="DU84">
        <v>0</v>
      </c>
      <c r="DV84">
        <v>39</v>
      </c>
      <c r="DW84">
        <v>97</v>
      </c>
      <c r="DX84">
        <v>17</v>
      </c>
      <c r="DY84">
        <v>7</v>
      </c>
      <c r="DZ84">
        <v>6</v>
      </c>
      <c r="EA84">
        <v>66</v>
      </c>
      <c r="EB84">
        <v>0</v>
      </c>
      <c r="EC84">
        <v>0</v>
      </c>
      <c r="ED84">
        <v>0</v>
      </c>
      <c r="EE84">
        <v>0</v>
      </c>
      <c r="EF84">
        <v>1</v>
      </c>
      <c r="EG84">
        <v>0</v>
      </c>
      <c r="EH84">
        <v>97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</row>
    <row r="85" spans="1:150" ht="12.75">
      <c r="A85">
        <v>80</v>
      </c>
      <c r="B85" t="str">
        <f>"060313"</f>
        <v>060313</v>
      </c>
      <c r="C85" t="str">
        <f>"Wojsławice"</f>
        <v>Wojsławice</v>
      </c>
      <c r="D85" t="str">
        <f t="shared" si="11"/>
        <v>chełmski</v>
      </c>
      <c r="E85" t="str">
        <f t="shared" si="12"/>
        <v>lubelskie</v>
      </c>
      <c r="F85">
        <v>4</v>
      </c>
      <c r="G85" t="str">
        <f>"Remiza OSP, Stary Majdan 40, 22-120 Wojsławice"</f>
        <v>Remiza OSP, Stary Majdan 40, 22-120 Wojsławice</v>
      </c>
      <c r="H85">
        <v>471</v>
      </c>
      <c r="I85">
        <v>471</v>
      </c>
      <c r="J85">
        <v>0</v>
      </c>
      <c r="K85">
        <v>330</v>
      </c>
      <c r="L85">
        <v>263</v>
      </c>
      <c r="M85">
        <v>67</v>
      </c>
      <c r="N85">
        <v>67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67</v>
      </c>
      <c r="Z85">
        <v>0</v>
      </c>
      <c r="AA85">
        <v>0</v>
      </c>
      <c r="AB85">
        <v>67</v>
      </c>
      <c r="AC85">
        <v>3</v>
      </c>
      <c r="AD85">
        <v>64</v>
      </c>
      <c r="AE85">
        <v>4</v>
      </c>
      <c r="AF85">
        <v>1</v>
      </c>
      <c r="AG85">
        <v>1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2</v>
      </c>
      <c r="AP85">
        <v>4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4</v>
      </c>
      <c r="BD85">
        <v>0</v>
      </c>
      <c r="BE85">
        <v>0</v>
      </c>
      <c r="BF85">
        <v>2</v>
      </c>
      <c r="BG85">
        <v>1</v>
      </c>
      <c r="BH85">
        <v>1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4</v>
      </c>
      <c r="BO85">
        <v>19</v>
      </c>
      <c r="BP85">
        <v>5</v>
      </c>
      <c r="BQ85">
        <v>4</v>
      </c>
      <c r="BR85">
        <v>3</v>
      </c>
      <c r="BS85">
        <v>4</v>
      </c>
      <c r="BT85">
        <v>1</v>
      </c>
      <c r="BU85">
        <v>0</v>
      </c>
      <c r="BV85">
        <v>0</v>
      </c>
      <c r="BW85">
        <v>2</v>
      </c>
      <c r="BX85">
        <v>0</v>
      </c>
      <c r="BY85">
        <v>0</v>
      </c>
      <c r="BZ85">
        <v>19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2</v>
      </c>
      <c r="CN85">
        <v>0</v>
      </c>
      <c r="CO85">
        <v>0</v>
      </c>
      <c r="CP85">
        <v>0</v>
      </c>
      <c r="CQ85">
        <v>0</v>
      </c>
      <c r="CR85">
        <v>2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2</v>
      </c>
      <c r="CY85">
        <v>5</v>
      </c>
      <c r="CZ85">
        <v>1</v>
      </c>
      <c r="DA85">
        <v>0</v>
      </c>
      <c r="DB85">
        <v>0</v>
      </c>
      <c r="DC85">
        <v>1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3</v>
      </c>
      <c r="DJ85">
        <v>5</v>
      </c>
      <c r="DK85">
        <v>11</v>
      </c>
      <c r="DL85">
        <v>0</v>
      </c>
      <c r="DM85">
        <v>0</v>
      </c>
      <c r="DN85">
        <v>0</v>
      </c>
      <c r="DO85">
        <v>0</v>
      </c>
      <c r="DP85">
        <v>10</v>
      </c>
      <c r="DQ85">
        <v>0</v>
      </c>
      <c r="DR85">
        <v>1</v>
      </c>
      <c r="DS85">
        <v>0</v>
      </c>
      <c r="DT85">
        <v>0</v>
      </c>
      <c r="DU85">
        <v>0</v>
      </c>
      <c r="DV85">
        <v>11</v>
      </c>
      <c r="DW85">
        <v>18</v>
      </c>
      <c r="DX85">
        <v>2</v>
      </c>
      <c r="DY85">
        <v>0</v>
      </c>
      <c r="DZ85">
        <v>1</v>
      </c>
      <c r="EA85">
        <v>15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18</v>
      </c>
      <c r="EI85">
        <v>1</v>
      </c>
      <c r="EJ85">
        <v>0</v>
      </c>
      <c r="EK85">
        <v>0</v>
      </c>
      <c r="EL85">
        <v>0</v>
      </c>
      <c r="EM85">
        <v>0</v>
      </c>
      <c r="EN85">
        <v>1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1</v>
      </c>
    </row>
    <row r="86" spans="1:150" ht="12.75">
      <c r="A86">
        <v>81</v>
      </c>
      <c r="B86" t="str">
        <f>"060313"</f>
        <v>060313</v>
      </c>
      <c r="C86" t="str">
        <f>"Wojsławice"</f>
        <v>Wojsławice</v>
      </c>
      <c r="D86" t="str">
        <f t="shared" si="11"/>
        <v>chełmski</v>
      </c>
      <c r="E86" t="str">
        <f t="shared" si="12"/>
        <v>lubelskie</v>
      </c>
      <c r="F86">
        <v>5</v>
      </c>
      <c r="G86" t="str">
        <f>"Budynek komunalny, Majdan Ostrowski 100, 22-120 Wojsławice"</f>
        <v>Budynek komunalny, Majdan Ostrowski 100, 22-120 Wojsławice</v>
      </c>
      <c r="H86">
        <v>394</v>
      </c>
      <c r="I86">
        <v>394</v>
      </c>
      <c r="J86">
        <v>0</v>
      </c>
      <c r="K86">
        <v>280</v>
      </c>
      <c r="L86">
        <v>217</v>
      </c>
      <c r="M86">
        <v>63</v>
      </c>
      <c r="N86">
        <v>63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63</v>
      </c>
      <c r="Z86">
        <v>0</v>
      </c>
      <c r="AA86">
        <v>0</v>
      </c>
      <c r="AB86">
        <v>63</v>
      </c>
      <c r="AC86">
        <v>4</v>
      </c>
      <c r="AD86">
        <v>59</v>
      </c>
      <c r="AE86">
        <v>2</v>
      </c>
      <c r="AF86">
        <v>1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1</v>
      </c>
      <c r="AP86">
        <v>2</v>
      </c>
      <c r="AQ86">
        <v>3</v>
      </c>
      <c r="AR86">
        <v>2</v>
      </c>
      <c r="AS86">
        <v>1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3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12</v>
      </c>
      <c r="BP86">
        <v>2</v>
      </c>
      <c r="BQ86">
        <v>3</v>
      </c>
      <c r="BR86">
        <v>1</v>
      </c>
      <c r="BS86">
        <v>3</v>
      </c>
      <c r="BT86">
        <v>0</v>
      </c>
      <c r="BU86">
        <v>0</v>
      </c>
      <c r="BV86">
        <v>0</v>
      </c>
      <c r="BW86">
        <v>3</v>
      </c>
      <c r="BX86">
        <v>0</v>
      </c>
      <c r="BY86">
        <v>0</v>
      </c>
      <c r="BZ86">
        <v>12</v>
      </c>
      <c r="CA86">
        <v>1</v>
      </c>
      <c r="CB86">
        <v>0</v>
      </c>
      <c r="CC86">
        <v>0</v>
      </c>
      <c r="CD86">
        <v>0</v>
      </c>
      <c r="CE86">
        <v>0</v>
      </c>
      <c r="CF86">
        <v>1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1</v>
      </c>
      <c r="CM86">
        <v>2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2</v>
      </c>
      <c r="CX86">
        <v>2</v>
      </c>
      <c r="CY86">
        <v>1</v>
      </c>
      <c r="CZ86">
        <v>1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1</v>
      </c>
      <c r="DK86">
        <v>3</v>
      </c>
      <c r="DL86">
        <v>0</v>
      </c>
      <c r="DM86">
        <v>0</v>
      </c>
      <c r="DN86">
        <v>0</v>
      </c>
      <c r="DO86">
        <v>0</v>
      </c>
      <c r="DP86">
        <v>3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3</v>
      </c>
      <c r="DW86">
        <v>35</v>
      </c>
      <c r="DX86">
        <v>1</v>
      </c>
      <c r="DY86">
        <v>0</v>
      </c>
      <c r="DZ86">
        <v>0</v>
      </c>
      <c r="EA86">
        <v>34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35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0</v>
      </c>
      <c r="ET86">
        <v>0</v>
      </c>
    </row>
    <row r="87" spans="1:150" ht="12.75">
      <c r="A87">
        <v>82</v>
      </c>
      <c r="B87" t="str">
        <f>"060314"</f>
        <v>060314</v>
      </c>
      <c r="C87" t="str">
        <f>"Żmudź"</f>
        <v>Żmudź</v>
      </c>
      <c r="D87" t="str">
        <f t="shared" si="11"/>
        <v>chełmski</v>
      </c>
      <c r="E87" t="str">
        <f t="shared" si="12"/>
        <v>lubelskie</v>
      </c>
      <c r="F87">
        <v>1</v>
      </c>
      <c r="G87" t="str">
        <f>"Świetlica wiejska, Roztoka 14, 22-114 Żmudź"</f>
        <v>Świetlica wiejska, Roztoka 14, 22-114 Żmudź</v>
      </c>
      <c r="H87">
        <v>540</v>
      </c>
      <c r="I87">
        <v>540</v>
      </c>
      <c r="J87">
        <v>0</v>
      </c>
      <c r="K87">
        <v>397</v>
      </c>
      <c r="L87">
        <v>255</v>
      </c>
      <c r="M87">
        <v>142</v>
      </c>
      <c r="N87">
        <v>142</v>
      </c>
      <c r="O87">
        <v>0</v>
      </c>
      <c r="P87">
        <v>0</v>
      </c>
      <c r="Q87">
        <v>1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142</v>
      </c>
      <c r="Z87">
        <v>0</v>
      </c>
      <c r="AA87">
        <v>0</v>
      </c>
      <c r="AB87">
        <v>142</v>
      </c>
      <c r="AC87">
        <v>6</v>
      </c>
      <c r="AD87">
        <v>136</v>
      </c>
      <c r="AE87">
        <v>8</v>
      </c>
      <c r="AF87">
        <v>4</v>
      </c>
      <c r="AG87">
        <v>0</v>
      </c>
      <c r="AH87">
        <v>3</v>
      </c>
      <c r="AI87">
        <v>0</v>
      </c>
      <c r="AJ87">
        <v>1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8</v>
      </c>
      <c r="AQ87">
        <v>1</v>
      </c>
      <c r="AR87">
        <v>1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1</v>
      </c>
      <c r="BC87">
        <v>3</v>
      </c>
      <c r="BD87">
        <v>1</v>
      </c>
      <c r="BE87">
        <v>0</v>
      </c>
      <c r="BF87">
        <v>1</v>
      </c>
      <c r="BG87">
        <v>0</v>
      </c>
      <c r="BH87">
        <v>1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3</v>
      </c>
      <c r="BO87">
        <v>50</v>
      </c>
      <c r="BP87">
        <v>12</v>
      </c>
      <c r="BQ87">
        <v>12</v>
      </c>
      <c r="BR87">
        <v>3</v>
      </c>
      <c r="BS87">
        <v>20</v>
      </c>
      <c r="BT87">
        <v>1</v>
      </c>
      <c r="BU87">
        <v>0</v>
      </c>
      <c r="BV87">
        <v>2</v>
      </c>
      <c r="BW87">
        <v>0</v>
      </c>
      <c r="BX87">
        <v>0</v>
      </c>
      <c r="BY87">
        <v>0</v>
      </c>
      <c r="BZ87">
        <v>50</v>
      </c>
      <c r="CA87">
        <v>1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1</v>
      </c>
      <c r="CH87">
        <v>0</v>
      </c>
      <c r="CI87">
        <v>0</v>
      </c>
      <c r="CJ87">
        <v>0</v>
      </c>
      <c r="CK87">
        <v>0</v>
      </c>
      <c r="CL87">
        <v>1</v>
      </c>
      <c r="CM87">
        <v>1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1</v>
      </c>
      <c r="CU87">
        <v>0</v>
      </c>
      <c r="CV87">
        <v>0</v>
      </c>
      <c r="CW87">
        <v>0</v>
      </c>
      <c r="CX87">
        <v>1</v>
      </c>
      <c r="CY87">
        <v>6</v>
      </c>
      <c r="CZ87">
        <v>4</v>
      </c>
      <c r="DA87">
        <v>1</v>
      </c>
      <c r="DB87">
        <v>1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6</v>
      </c>
      <c r="DK87">
        <v>13</v>
      </c>
      <c r="DL87">
        <v>2</v>
      </c>
      <c r="DM87">
        <v>0</v>
      </c>
      <c r="DN87">
        <v>0</v>
      </c>
      <c r="DO87">
        <v>0</v>
      </c>
      <c r="DP87">
        <v>11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13</v>
      </c>
      <c r="DW87">
        <v>52</v>
      </c>
      <c r="DX87">
        <v>19</v>
      </c>
      <c r="DY87">
        <v>1</v>
      </c>
      <c r="DZ87">
        <v>1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1</v>
      </c>
      <c r="EG87">
        <v>1</v>
      </c>
      <c r="EH87">
        <v>52</v>
      </c>
      <c r="EI87">
        <v>1</v>
      </c>
      <c r="EJ87">
        <v>1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1</v>
      </c>
    </row>
    <row r="88" spans="1:150" ht="12.75">
      <c r="A88">
        <v>83</v>
      </c>
      <c r="B88" t="str">
        <f>"060314"</f>
        <v>060314</v>
      </c>
      <c r="C88" t="str">
        <f>"Żmudź"</f>
        <v>Żmudź</v>
      </c>
      <c r="D88" t="str">
        <f t="shared" si="11"/>
        <v>chełmski</v>
      </c>
      <c r="E88" t="str">
        <f t="shared" si="12"/>
        <v>lubelskie</v>
      </c>
      <c r="F88">
        <v>2</v>
      </c>
      <c r="G88" t="str">
        <f>"Szkoła Podstawowa, Żmudź-Kolonia 10, 22-114 Żmudź"</f>
        <v>Szkoła Podstawowa, Żmudź-Kolonia 10, 22-114 Żmudź</v>
      </c>
      <c r="H88">
        <v>1308</v>
      </c>
      <c r="I88">
        <v>1308</v>
      </c>
      <c r="J88">
        <v>0</v>
      </c>
      <c r="K88">
        <v>920</v>
      </c>
      <c r="L88">
        <v>652</v>
      </c>
      <c r="M88">
        <v>268</v>
      </c>
      <c r="N88">
        <v>268</v>
      </c>
      <c r="O88">
        <v>0</v>
      </c>
      <c r="P88">
        <v>0</v>
      </c>
      <c r="Q88">
        <v>1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268</v>
      </c>
      <c r="Z88">
        <v>0</v>
      </c>
      <c r="AA88">
        <v>0</v>
      </c>
      <c r="AB88">
        <v>268</v>
      </c>
      <c r="AC88">
        <v>9</v>
      </c>
      <c r="AD88">
        <v>259</v>
      </c>
      <c r="AE88">
        <v>9</v>
      </c>
      <c r="AF88">
        <v>3</v>
      </c>
      <c r="AG88">
        <v>0</v>
      </c>
      <c r="AH88">
        <v>0</v>
      </c>
      <c r="AI88">
        <v>1</v>
      </c>
      <c r="AJ88">
        <v>2</v>
      </c>
      <c r="AK88">
        <v>0</v>
      </c>
      <c r="AL88">
        <v>1</v>
      </c>
      <c r="AM88">
        <v>2</v>
      </c>
      <c r="AN88">
        <v>0</v>
      </c>
      <c r="AO88">
        <v>0</v>
      </c>
      <c r="AP88">
        <v>9</v>
      </c>
      <c r="AQ88">
        <v>1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1</v>
      </c>
      <c r="BA88">
        <v>0</v>
      </c>
      <c r="BB88">
        <v>1</v>
      </c>
      <c r="BC88">
        <v>14</v>
      </c>
      <c r="BD88">
        <v>10</v>
      </c>
      <c r="BE88">
        <v>0</v>
      </c>
      <c r="BF88">
        <v>1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14</v>
      </c>
      <c r="BO88">
        <v>72</v>
      </c>
      <c r="BP88">
        <v>20</v>
      </c>
      <c r="BQ88">
        <v>21</v>
      </c>
      <c r="BR88">
        <v>2</v>
      </c>
      <c r="BS88">
        <v>25</v>
      </c>
      <c r="BT88">
        <v>0</v>
      </c>
      <c r="BU88">
        <v>0</v>
      </c>
      <c r="BV88">
        <v>0</v>
      </c>
      <c r="BW88">
        <v>1</v>
      </c>
      <c r="BX88">
        <v>3</v>
      </c>
      <c r="BY88">
        <v>0</v>
      </c>
      <c r="BZ88">
        <v>72</v>
      </c>
      <c r="CA88">
        <v>1</v>
      </c>
      <c r="CB88">
        <v>0</v>
      </c>
      <c r="CC88">
        <v>0</v>
      </c>
      <c r="CD88">
        <v>0</v>
      </c>
      <c r="CE88">
        <v>1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1</v>
      </c>
      <c r="CM88">
        <v>1</v>
      </c>
      <c r="CN88">
        <v>1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1</v>
      </c>
      <c r="CY88">
        <v>9</v>
      </c>
      <c r="CZ88">
        <v>5</v>
      </c>
      <c r="DA88">
        <v>0</v>
      </c>
      <c r="DB88">
        <v>0</v>
      </c>
      <c r="DC88">
        <v>0</v>
      </c>
      <c r="DD88">
        <v>1</v>
      </c>
      <c r="DE88">
        <v>0</v>
      </c>
      <c r="DF88">
        <v>0</v>
      </c>
      <c r="DG88">
        <v>0</v>
      </c>
      <c r="DH88">
        <v>0</v>
      </c>
      <c r="DI88">
        <v>3</v>
      </c>
      <c r="DJ88">
        <v>9</v>
      </c>
      <c r="DK88">
        <v>55</v>
      </c>
      <c r="DL88">
        <v>2</v>
      </c>
      <c r="DM88">
        <v>0</v>
      </c>
      <c r="DN88">
        <v>1</v>
      </c>
      <c r="DO88">
        <v>0</v>
      </c>
      <c r="DP88">
        <v>51</v>
      </c>
      <c r="DQ88">
        <v>0</v>
      </c>
      <c r="DR88">
        <v>0</v>
      </c>
      <c r="DS88">
        <v>0</v>
      </c>
      <c r="DT88">
        <v>0</v>
      </c>
      <c r="DU88">
        <v>1</v>
      </c>
      <c r="DV88">
        <v>55</v>
      </c>
      <c r="DW88">
        <v>97</v>
      </c>
      <c r="DX88">
        <v>18</v>
      </c>
      <c r="DY88">
        <v>7</v>
      </c>
      <c r="DZ88">
        <v>7</v>
      </c>
      <c r="EA88">
        <v>64</v>
      </c>
      <c r="EB88">
        <v>0</v>
      </c>
      <c r="EC88">
        <v>1</v>
      </c>
      <c r="ED88">
        <v>0</v>
      </c>
      <c r="EE88">
        <v>0</v>
      </c>
      <c r="EF88">
        <v>0</v>
      </c>
      <c r="EG88">
        <v>0</v>
      </c>
      <c r="EH88">
        <v>97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</row>
    <row r="89" spans="1:150" ht="12.75">
      <c r="A89">
        <v>84</v>
      </c>
      <c r="B89" t="str">
        <f>"060314"</f>
        <v>060314</v>
      </c>
      <c r="C89" t="str">
        <f>"Żmudź"</f>
        <v>Żmudź</v>
      </c>
      <c r="D89" t="str">
        <f t="shared" si="11"/>
        <v>chełmski</v>
      </c>
      <c r="E89" t="str">
        <f t="shared" si="12"/>
        <v>lubelskie</v>
      </c>
      <c r="F89">
        <v>3</v>
      </c>
      <c r="G89" t="str">
        <f>"Szkoła Podstawowa, Leszczany 21, 22-114 Żmudź"</f>
        <v>Szkoła Podstawowa, Leszczany 21, 22-114 Żmudź</v>
      </c>
      <c r="H89">
        <v>808</v>
      </c>
      <c r="I89">
        <v>808</v>
      </c>
      <c r="J89">
        <v>0</v>
      </c>
      <c r="K89">
        <v>571</v>
      </c>
      <c r="L89">
        <v>455</v>
      </c>
      <c r="M89">
        <v>116</v>
      </c>
      <c r="N89">
        <v>116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116</v>
      </c>
      <c r="Z89">
        <v>0</v>
      </c>
      <c r="AA89">
        <v>0</v>
      </c>
      <c r="AB89">
        <v>116</v>
      </c>
      <c r="AC89">
        <v>3</v>
      </c>
      <c r="AD89">
        <v>113</v>
      </c>
      <c r="AE89">
        <v>2</v>
      </c>
      <c r="AF89">
        <v>2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2</v>
      </c>
      <c r="AQ89">
        <v>1</v>
      </c>
      <c r="AR89">
        <v>0</v>
      </c>
      <c r="AS89">
        <v>1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</v>
      </c>
      <c r="BC89">
        <v>7</v>
      </c>
      <c r="BD89">
        <v>3</v>
      </c>
      <c r="BE89">
        <v>1</v>
      </c>
      <c r="BF89">
        <v>0</v>
      </c>
      <c r="BG89">
        <v>0</v>
      </c>
      <c r="BH89">
        <v>2</v>
      </c>
      <c r="BI89">
        <v>0</v>
      </c>
      <c r="BJ89">
        <v>0</v>
      </c>
      <c r="BK89">
        <v>0</v>
      </c>
      <c r="BL89">
        <v>0</v>
      </c>
      <c r="BM89">
        <v>1</v>
      </c>
      <c r="BN89">
        <v>7</v>
      </c>
      <c r="BO89">
        <v>25</v>
      </c>
      <c r="BP89">
        <v>5</v>
      </c>
      <c r="BQ89">
        <v>7</v>
      </c>
      <c r="BR89">
        <v>3</v>
      </c>
      <c r="BS89">
        <v>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1</v>
      </c>
      <c r="BZ89">
        <v>25</v>
      </c>
      <c r="CA89">
        <v>1</v>
      </c>
      <c r="CB89">
        <v>1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1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1</v>
      </c>
      <c r="CZ89">
        <v>1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1</v>
      </c>
      <c r="DK89">
        <v>15</v>
      </c>
      <c r="DL89">
        <v>0</v>
      </c>
      <c r="DM89">
        <v>0</v>
      </c>
      <c r="DN89">
        <v>0</v>
      </c>
      <c r="DO89">
        <v>0</v>
      </c>
      <c r="DP89">
        <v>15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15</v>
      </c>
      <c r="DW89">
        <v>61</v>
      </c>
      <c r="DX89">
        <v>8</v>
      </c>
      <c r="DY89">
        <v>3</v>
      </c>
      <c r="DZ89">
        <v>1</v>
      </c>
      <c r="EA89">
        <v>49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61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</row>
    <row r="90" spans="1:150" ht="12.75">
      <c r="A90">
        <v>85</v>
      </c>
      <c r="B90" t="str">
        <f aca="true" t="shared" si="15" ref="B90:B96">"060315"</f>
        <v>060315</v>
      </c>
      <c r="C90" t="str">
        <f aca="true" t="shared" si="16" ref="C90:C96">"Rejowiec"</f>
        <v>Rejowiec</v>
      </c>
      <c r="D90" t="str">
        <f t="shared" si="11"/>
        <v>chełmski</v>
      </c>
      <c r="E90" t="str">
        <f t="shared" si="12"/>
        <v>lubelskie</v>
      </c>
      <c r="F90">
        <v>1</v>
      </c>
      <c r="G90" t="str">
        <f>"Lokal po byłej Szkole Podstawowej, Niedziałowice Pierwsze 29 8, 22-360 Rejowiec"</f>
        <v>Lokal po byłej Szkole Podstawowej, Niedziałowice Pierwsze 29 8, 22-360 Rejowiec</v>
      </c>
      <c r="H90">
        <v>485</v>
      </c>
      <c r="I90">
        <v>485</v>
      </c>
      <c r="J90">
        <v>0</v>
      </c>
      <c r="K90">
        <v>350</v>
      </c>
      <c r="L90">
        <v>274</v>
      </c>
      <c r="M90">
        <v>76</v>
      </c>
      <c r="N90">
        <v>76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76</v>
      </c>
      <c r="Z90">
        <v>0</v>
      </c>
      <c r="AA90">
        <v>0</v>
      </c>
      <c r="AB90">
        <v>76</v>
      </c>
      <c r="AC90">
        <v>7</v>
      </c>
      <c r="AD90">
        <v>69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1</v>
      </c>
      <c r="BD90">
        <v>0</v>
      </c>
      <c r="BE90">
        <v>0</v>
      </c>
      <c r="BF90">
        <v>1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1</v>
      </c>
      <c r="BO90">
        <v>21</v>
      </c>
      <c r="BP90">
        <v>2</v>
      </c>
      <c r="BQ90">
        <v>11</v>
      </c>
      <c r="BR90">
        <v>4</v>
      </c>
      <c r="BS90">
        <v>1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3</v>
      </c>
      <c r="BZ90">
        <v>21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3</v>
      </c>
      <c r="CZ90">
        <v>0</v>
      </c>
      <c r="DA90">
        <v>0</v>
      </c>
      <c r="DB90">
        <v>1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2</v>
      </c>
      <c r="DJ90">
        <v>3</v>
      </c>
      <c r="DK90">
        <v>3</v>
      </c>
      <c r="DL90">
        <v>0</v>
      </c>
      <c r="DM90">
        <v>1</v>
      </c>
      <c r="DN90">
        <v>0</v>
      </c>
      <c r="DO90">
        <v>0</v>
      </c>
      <c r="DP90">
        <v>2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3</v>
      </c>
      <c r="DW90">
        <v>41</v>
      </c>
      <c r="DX90">
        <v>1</v>
      </c>
      <c r="DY90">
        <v>1</v>
      </c>
      <c r="DZ90">
        <v>0</v>
      </c>
      <c r="EA90">
        <v>39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41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</row>
    <row r="91" spans="1:150" ht="12.75">
      <c r="A91">
        <v>86</v>
      </c>
      <c r="B91" t="str">
        <f t="shared" si="15"/>
        <v>060315</v>
      </c>
      <c r="C91" t="str">
        <f t="shared" si="16"/>
        <v>Rejowiec</v>
      </c>
      <c r="D91" t="str">
        <f t="shared" si="11"/>
        <v>chełmski</v>
      </c>
      <c r="E91" t="str">
        <f t="shared" si="12"/>
        <v>lubelskie</v>
      </c>
      <c r="F91">
        <v>2</v>
      </c>
      <c r="G91" t="str">
        <f>"BuBudynek Gminnej Biblioteki Publicznej, ul. Zwierzyńskiego 8C, 22-360 Rejowiec"</f>
        <v>BuBudynek Gminnej Biblioteki Publicznej, ul. Zwierzyńskiego 8C, 22-360 Rejowiec</v>
      </c>
      <c r="H91">
        <v>1542</v>
      </c>
      <c r="I91">
        <v>1542</v>
      </c>
      <c r="J91">
        <v>0</v>
      </c>
      <c r="K91">
        <v>1080</v>
      </c>
      <c r="L91">
        <v>803</v>
      </c>
      <c r="M91">
        <v>277</v>
      </c>
      <c r="N91">
        <v>277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277</v>
      </c>
      <c r="Z91">
        <v>0</v>
      </c>
      <c r="AA91">
        <v>0</v>
      </c>
      <c r="AB91">
        <v>277</v>
      </c>
      <c r="AC91">
        <v>19</v>
      </c>
      <c r="AD91">
        <v>258</v>
      </c>
      <c r="AE91">
        <v>4</v>
      </c>
      <c r="AF91">
        <v>1</v>
      </c>
      <c r="AG91">
        <v>0</v>
      </c>
      <c r="AH91">
        <v>0</v>
      </c>
      <c r="AI91">
        <v>1</v>
      </c>
      <c r="AJ91">
        <v>0</v>
      </c>
      <c r="AK91">
        <v>1</v>
      </c>
      <c r="AL91">
        <v>0</v>
      </c>
      <c r="AM91">
        <v>0</v>
      </c>
      <c r="AN91">
        <v>1</v>
      </c>
      <c r="AO91">
        <v>0</v>
      </c>
      <c r="AP91">
        <v>4</v>
      </c>
      <c r="AQ91">
        <v>2</v>
      </c>
      <c r="AR91">
        <v>0</v>
      </c>
      <c r="AS91">
        <v>2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2</v>
      </c>
      <c r="BC91">
        <v>11</v>
      </c>
      <c r="BD91">
        <v>5</v>
      </c>
      <c r="BE91">
        <v>0</v>
      </c>
      <c r="BF91">
        <v>1</v>
      </c>
      <c r="BG91">
        <v>1</v>
      </c>
      <c r="BH91">
        <v>3</v>
      </c>
      <c r="BI91">
        <v>1</v>
      </c>
      <c r="BJ91">
        <v>0</v>
      </c>
      <c r="BK91">
        <v>0</v>
      </c>
      <c r="BL91">
        <v>0</v>
      </c>
      <c r="BM91">
        <v>0</v>
      </c>
      <c r="BN91">
        <v>11</v>
      </c>
      <c r="BO91">
        <v>75</v>
      </c>
      <c r="BP91">
        <v>15</v>
      </c>
      <c r="BQ91">
        <v>31</v>
      </c>
      <c r="BR91">
        <v>1</v>
      </c>
      <c r="BS91">
        <v>21</v>
      </c>
      <c r="BT91">
        <v>1</v>
      </c>
      <c r="BU91">
        <v>1</v>
      </c>
      <c r="BV91">
        <v>0</v>
      </c>
      <c r="BW91">
        <v>2</v>
      </c>
      <c r="BX91">
        <v>1</v>
      </c>
      <c r="BY91">
        <v>2</v>
      </c>
      <c r="BZ91">
        <v>75</v>
      </c>
      <c r="CA91">
        <v>14</v>
      </c>
      <c r="CB91">
        <v>13</v>
      </c>
      <c r="CC91">
        <v>1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14</v>
      </c>
      <c r="CM91">
        <v>3</v>
      </c>
      <c r="CN91">
        <v>1</v>
      </c>
      <c r="CO91">
        <v>0</v>
      </c>
      <c r="CP91">
        <v>1</v>
      </c>
      <c r="CQ91">
        <v>0</v>
      </c>
      <c r="CR91">
        <v>0</v>
      </c>
      <c r="CS91">
        <v>0</v>
      </c>
      <c r="CT91">
        <v>1</v>
      </c>
      <c r="CU91">
        <v>0</v>
      </c>
      <c r="CV91">
        <v>0</v>
      </c>
      <c r="CW91">
        <v>0</v>
      </c>
      <c r="CX91">
        <v>3</v>
      </c>
      <c r="CY91">
        <v>15</v>
      </c>
      <c r="CZ91">
        <v>5</v>
      </c>
      <c r="DA91">
        <v>1</v>
      </c>
      <c r="DB91">
        <v>3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6</v>
      </c>
      <c r="DJ91">
        <v>15</v>
      </c>
      <c r="DK91">
        <v>37</v>
      </c>
      <c r="DL91">
        <v>9</v>
      </c>
      <c r="DM91">
        <v>1</v>
      </c>
      <c r="DN91">
        <v>0</v>
      </c>
      <c r="DO91">
        <v>0</v>
      </c>
      <c r="DP91">
        <v>26</v>
      </c>
      <c r="DQ91">
        <v>1</v>
      </c>
      <c r="DR91">
        <v>0</v>
      </c>
      <c r="DS91">
        <v>0</v>
      </c>
      <c r="DT91">
        <v>0</v>
      </c>
      <c r="DU91">
        <v>0</v>
      </c>
      <c r="DV91">
        <v>37</v>
      </c>
      <c r="DW91">
        <v>94</v>
      </c>
      <c r="DX91">
        <v>5</v>
      </c>
      <c r="DY91">
        <v>1</v>
      </c>
      <c r="DZ91">
        <v>0</v>
      </c>
      <c r="EA91">
        <v>88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94</v>
      </c>
      <c r="EI91">
        <v>3</v>
      </c>
      <c r="EJ91">
        <v>0</v>
      </c>
      <c r="EK91">
        <v>1</v>
      </c>
      <c r="EL91">
        <v>0</v>
      </c>
      <c r="EM91">
        <v>1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1</v>
      </c>
      <c r="ET91">
        <v>3</v>
      </c>
    </row>
    <row r="92" spans="1:150" ht="12.75">
      <c r="A92">
        <v>87</v>
      </c>
      <c r="B92" t="str">
        <f t="shared" si="15"/>
        <v>060315</v>
      </c>
      <c r="C92" t="str">
        <f t="shared" si="16"/>
        <v>Rejowiec</v>
      </c>
      <c r="D92" t="str">
        <f t="shared" si="11"/>
        <v>chełmski</v>
      </c>
      <c r="E92" t="str">
        <f t="shared" si="12"/>
        <v>lubelskie</v>
      </c>
      <c r="F92">
        <v>3</v>
      </c>
      <c r="G92" t="str">
        <f>"Lokal po byłej Szkole Podstawowej, Marynin 1, 22-360 Rejowiec"</f>
        <v>Lokal po byłej Szkole Podstawowej, Marynin 1, 22-360 Rejowiec</v>
      </c>
      <c r="H92">
        <v>913</v>
      </c>
      <c r="I92">
        <v>913</v>
      </c>
      <c r="J92">
        <v>0</v>
      </c>
      <c r="K92">
        <v>640</v>
      </c>
      <c r="L92">
        <v>542</v>
      </c>
      <c r="M92">
        <v>98</v>
      </c>
      <c r="N92">
        <v>98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98</v>
      </c>
      <c r="Z92">
        <v>0</v>
      </c>
      <c r="AA92">
        <v>0</v>
      </c>
      <c r="AB92">
        <v>98</v>
      </c>
      <c r="AC92">
        <v>5</v>
      </c>
      <c r="AD92">
        <v>93</v>
      </c>
      <c r="AE92">
        <v>2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2</v>
      </c>
      <c r="AM92">
        <v>0</v>
      </c>
      <c r="AN92">
        <v>0</v>
      </c>
      <c r="AO92">
        <v>0</v>
      </c>
      <c r="AP92">
        <v>2</v>
      </c>
      <c r="AQ92">
        <v>1</v>
      </c>
      <c r="AR92">
        <v>1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1</v>
      </c>
      <c r="BC92">
        <v>2</v>
      </c>
      <c r="BD92">
        <v>0</v>
      </c>
      <c r="BE92">
        <v>0</v>
      </c>
      <c r="BF92">
        <v>1</v>
      </c>
      <c r="BG92">
        <v>1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2</v>
      </c>
      <c r="BO92">
        <v>34</v>
      </c>
      <c r="BP92">
        <v>11</v>
      </c>
      <c r="BQ92">
        <v>14</v>
      </c>
      <c r="BR92">
        <v>4</v>
      </c>
      <c r="BS92">
        <v>5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34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2</v>
      </c>
      <c r="CN92">
        <v>1</v>
      </c>
      <c r="CO92">
        <v>0</v>
      </c>
      <c r="CP92">
        <v>0</v>
      </c>
      <c r="CQ92">
        <v>1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2</v>
      </c>
      <c r="CY92">
        <v>7</v>
      </c>
      <c r="CZ92">
        <v>5</v>
      </c>
      <c r="DA92">
        <v>0</v>
      </c>
      <c r="DB92">
        <v>1</v>
      </c>
      <c r="DC92">
        <v>1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7</v>
      </c>
      <c r="DK92">
        <v>11</v>
      </c>
      <c r="DL92">
        <v>2</v>
      </c>
      <c r="DM92">
        <v>0</v>
      </c>
      <c r="DN92">
        <v>0</v>
      </c>
      <c r="DO92">
        <v>0</v>
      </c>
      <c r="DP92">
        <v>9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11</v>
      </c>
      <c r="DW92">
        <v>34</v>
      </c>
      <c r="DX92">
        <v>4</v>
      </c>
      <c r="DY92">
        <v>0</v>
      </c>
      <c r="DZ92">
        <v>0</v>
      </c>
      <c r="EA92">
        <v>30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34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</row>
    <row r="93" spans="1:150" ht="12.75">
      <c r="A93">
        <v>88</v>
      </c>
      <c r="B93" t="str">
        <f t="shared" si="15"/>
        <v>060315</v>
      </c>
      <c r="C93" t="str">
        <f t="shared" si="16"/>
        <v>Rejowiec</v>
      </c>
      <c r="D93" t="str">
        <f t="shared" si="11"/>
        <v>chełmski</v>
      </c>
      <c r="E93" t="str">
        <f t="shared" si="12"/>
        <v>lubelskie</v>
      </c>
      <c r="F93">
        <v>4</v>
      </c>
      <c r="G93" t="str">
        <f>"Szkoła Podstawowa, Leonów 3, 22-360 Rejowiec"</f>
        <v>Szkoła Podstawowa, Leonów 3, 22-360 Rejowiec</v>
      </c>
      <c r="H93">
        <v>835</v>
      </c>
      <c r="I93">
        <v>835</v>
      </c>
      <c r="J93">
        <v>0</v>
      </c>
      <c r="K93">
        <v>590</v>
      </c>
      <c r="L93">
        <v>518</v>
      </c>
      <c r="M93">
        <v>72</v>
      </c>
      <c r="N93">
        <v>72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72</v>
      </c>
      <c r="Z93">
        <v>0</v>
      </c>
      <c r="AA93">
        <v>0</v>
      </c>
      <c r="AB93">
        <v>72</v>
      </c>
      <c r="AC93">
        <v>5</v>
      </c>
      <c r="AD93">
        <v>67</v>
      </c>
      <c r="AE93">
        <v>3</v>
      </c>
      <c r="AF93">
        <v>2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1</v>
      </c>
      <c r="AP93">
        <v>3</v>
      </c>
      <c r="AQ93">
        <v>1</v>
      </c>
      <c r="AR93">
        <v>1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1</v>
      </c>
      <c r="BC93">
        <v>4</v>
      </c>
      <c r="BD93">
        <v>2</v>
      </c>
      <c r="BE93">
        <v>1</v>
      </c>
      <c r="BF93">
        <v>0</v>
      </c>
      <c r="BG93">
        <v>0</v>
      </c>
      <c r="BH93">
        <v>1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4</v>
      </c>
      <c r="BO93">
        <v>29</v>
      </c>
      <c r="BP93">
        <v>2</v>
      </c>
      <c r="BQ93">
        <v>17</v>
      </c>
      <c r="BR93">
        <v>1</v>
      </c>
      <c r="BS93">
        <v>9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29</v>
      </c>
      <c r="CA93">
        <v>2</v>
      </c>
      <c r="CB93">
        <v>1</v>
      </c>
      <c r="CC93">
        <v>0</v>
      </c>
      <c r="CD93">
        <v>0</v>
      </c>
      <c r="CE93">
        <v>1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2</v>
      </c>
      <c r="CM93">
        <v>2</v>
      </c>
      <c r="CN93">
        <v>2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2</v>
      </c>
      <c r="CY93">
        <v>1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1</v>
      </c>
      <c r="DJ93">
        <v>1</v>
      </c>
      <c r="DK93">
        <v>6</v>
      </c>
      <c r="DL93">
        <v>0</v>
      </c>
      <c r="DM93">
        <v>0</v>
      </c>
      <c r="DN93">
        <v>0</v>
      </c>
      <c r="DO93">
        <v>0</v>
      </c>
      <c r="DP93">
        <v>5</v>
      </c>
      <c r="DQ93">
        <v>0</v>
      </c>
      <c r="DR93">
        <v>0</v>
      </c>
      <c r="DS93">
        <v>0</v>
      </c>
      <c r="DT93">
        <v>0</v>
      </c>
      <c r="DU93">
        <v>1</v>
      </c>
      <c r="DV93">
        <v>6</v>
      </c>
      <c r="DW93">
        <v>19</v>
      </c>
      <c r="DX93">
        <v>2</v>
      </c>
      <c r="DY93">
        <v>0</v>
      </c>
      <c r="DZ93">
        <v>0</v>
      </c>
      <c r="EA93">
        <v>17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19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</row>
    <row r="94" spans="1:150" ht="12.75">
      <c r="A94">
        <v>89</v>
      </c>
      <c r="B94" t="str">
        <f t="shared" si="15"/>
        <v>060315</v>
      </c>
      <c r="C94" t="str">
        <f t="shared" si="16"/>
        <v>Rejowiec</v>
      </c>
      <c r="D94" t="str">
        <f t="shared" si="11"/>
        <v>chełmski</v>
      </c>
      <c r="E94" t="str">
        <f t="shared" si="12"/>
        <v>lubelskie</v>
      </c>
      <c r="F94">
        <v>5</v>
      </c>
      <c r="G94" t="str">
        <f>"Szkoła Podstawowa, Zawadówka 45, 22-360 Rejowiec"</f>
        <v>Szkoła Podstawowa, Zawadówka 45, 22-360 Rejowiec</v>
      </c>
      <c r="H94">
        <v>358</v>
      </c>
      <c r="I94">
        <v>358</v>
      </c>
      <c r="J94">
        <v>0</v>
      </c>
      <c r="K94">
        <v>250</v>
      </c>
      <c r="L94">
        <v>188</v>
      </c>
      <c r="M94">
        <v>62</v>
      </c>
      <c r="N94">
        <v>62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62</v>
      </c>
      <c r="Z94">
        <v>0</v>
      </c>
      <c r="AA94">
        <v>0</v>
      </c>
      <c r="AB94">
        <v>62</v>
      </c>
      <c r="AC94">
        <v>2</v>
      </c>
      <c r="AD94">
        <v>60</v>
      </c>
      <c r="AE94">
        <v>4</v>
      </c>
      <c r="AF94">
        <v>0</v>
      </c>
      <c r="AG94">
        <v>0</v>
      </c>
      <c r="AH94">
        <v>1</v>
      </c>
      <c r="AI94">
        <v>1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2</v>
      </c>
      <c r="AP94">
        <v>4</v>
      </c>
      <c r="AQ94">
        <v>1</v>
      </c>
      <c r="AR94">
        <v>1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1</v>
      </c>
      <c r="BC94">
        <v>4</v>
      </c>
      <c r="BD94">
        <v>2</v>
      </c>
      <c r="BE94">
        <v>0</v>
      </c>
      <c r="BF94">
        <v>0</v>
      </c>
      <c r="BG94">
        <v>0</v>
      </c>
      <c r="BH94">
        <v>1</v>
      </c>
      <c r="BI94">
        <v>0</v>
      </c>
      <c r="BJ94">
        <v>0</v>
      </c>
      <c r="BK94">
        <v>0</v>
      </c>
      <c r="BL94">
        <v>1</v>
      </c>
      <c r="BM94">
        <v>0</v>
      </c>
      <c r="BN94">
        <v>4</v>
      </c>
      <c r="BO94">
        <v>17</v>
      </c>
      <c r="BP94">
        <v>4</v>
      </c>
      <c r="BQ94">
        <v>5</v>
      </c>
      <c r="BR94">
        <v>1</v>
      </c>
      <c r="BS94">
        <v>7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17</v>
      </c>
      <c r="CA94">
        <v>1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1</v>
      </c>
      <c r="CH94">
        <v>0</v>
      </c>
      <c r="CI94">
        <v>0</v>
      </c>
      <c r="CJ94">
        <v>0</v>
      </c>
      <c r="CK94">
        <v>0</v>
      </c>
      <c r="CL94">
        <v>1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15</v>
      </c>
      <c r="DL94">
        <v>3</v>
      </c>
      <c r="DM94">
        <v>1</v>
      </c>
      <c r="DN94">
        <v>0</v>
      </c>
      <c r="DO94">
        <v>0</v>
      </c>
      <c r="DP94">
        <v>11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15</v>
      </c>
      <c r="DW94">
        <v>18</v>
      </c>
      <c r="DX94">
        <v>0</v>
      </c>
      <c r="DY94">
        <v>0</v>
      </c>
      <c r="DZ94">
        <v>0</v>
      </c>
      <c r="EA94">
        <v>18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18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</row>
    <row r="95" spans="1:150" ht="12.75">
      <c r="A95">
        <v>90</v>
      </c>
      <c r="B95" t="str">
        <f t="shared" si="15"/>
        <v>060315</v>
      </c>
      <c r="C95" t="str">
        <f t="shared" si="16"/>
        <v>Rejowiec</v>
      </c>
      <c r="D95" t="str">
        <f t="shared" si="11"/>
        <v>chełmski</v>
      </c>
      <c r="E95" t="str">
        <f t="shared" si="12"/>
        <v>lubelskie</v>
      </c>
      <c r="F95">
        <v>6</v>
      </c>
      <c r="G95" t="str">
        <f>"Świetlica Wiejska, Adamów 27A, 22-360 Rejowiec"</f>
        <v>Świetlica Wiejska, Adamów 27A, 22-360 Rejowiec</v>
      </c>
      <c r="H95">
        <v>457</v>
      </c>
      <c r="I95">
        <v>457</v>
      </c>
      <c r="J95">
        <v>0</v>
      </c>
      <c r="K95">
        <v>320</v>
      </c>
      <c r="L95">
        <v>238</v>
      </c>
      <c r="M95">
        <v>82</v>
      </c>
      <c r="N95">
        <v>82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82</v>
      </c>
      <c r="Z95">
        <v>0</v>
      </c>
      <c r="AA95">
        <v>0</v>
      </c>
      <c r="AB95">
        <v>82</v>
      </c>
      <c r="AC95">
        <v>1</v>
      </c>
      <c r="AD95">
        <v>81</v>
      </c>
      <c r="AE95">
        <v>6</v>
      </c>
      <c r="AF95">
        <v>4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2</v>
      </c>
      <c r="AM95">
        <v>0</v>
      </c>
      <c r="AN95">
        <v>0</v>
      </c>
      <c r="AO95">
        <v>0</v>
      </c>
      <c r="AP95">
        <v>6</v>
      </c>
      <c r="AQ95">
        <v>3</v>
      </c>
      <c r="AR95">
        <v>3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3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30</v>
      </c>
      <c r="BP95">
        <v>6</v>
      </c>
      <c r="BQ95">
        <v>16</v>
      </c>
      <c r="BR95">
        <v>1</v>
      </c>
      <c r="BS95">
        <v>7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30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12</v>
      </c>
      <c r="CZ95">
        <v>5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7</v>
      </c>
      <c r="DJ95">
        <v>12</v>
      </c>
      <c r="DK95">
        <v>7</v>
      </c>
      <c r="DL95">
        <v>1</v>
      </c>
      <c r="DM95">
        <v>0</v>
      </c>
      <c r="DN95">
        <v>0</v>
      </c>
      <c r="DO95">
        <v>0</v>
      </c>
      <c r="DP95">
        <v>6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7</v>
      </c>
      <c r="DW95">
        <v>23</v>
      </c>
      <c r="DX95">
        <v>4</v>
      </c>
      <c r="DY95">
        <v>0</v>
      </c>
      <c r="DZ95">
        <v>0</v>
      </c>
      <c r="EA95">
        <v>19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23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</row>
    <row r="96" spans="1:150" ht="12.75">
      <c r="A96">
        <v>91</v>
      </c>
      <c r="B96" t="str">
        <f t="shared" si="15"/>
        <v>060315</v>
      </c>
      <c r="C96" t="str">
        <f t="shared" si="16"/>
        <v>Rejowiec</v>
      </c>
      <c r="D96" t="str">
        <f t="shared" si="11"/>
        <v>chełmski</v>
      </c>
      <c r="E96" t="str">
        <f t="shared" si="12"/>
        <v>lubelskie</v>
      </c>
      <c r="F96">
        <v>7</v>
      </c>
      <c r="G96" t="str">
        <f>"Gminny Ośrodek Kultury, ul. Fabryczna 13, 22-360 Rejowiec"</f>
        <v>Gminny Ośrodek Kultury, ul. Fabryczna 13, 22-360 Rejowiec</v>
      </c>
      <c r="H96">
        <v>810</v>
      </c>
      <c r="I96">
        <v>810</v>
      </c>
      <c r="J96">
        <v>0</v>
      </c>
      <c r="K96">
        <v>570</v>
      </c>
      <c r="L96">
        <v>466</v>
      </c>
      <c r="M96">
        <v>104</v>
      </c>
      <c r="N96">
        <v>104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104</v>
      </c>
      <c r="Z96">
        <v>0</v>
      </c>
      <c r="AA96">
        <v>0</v>
      </c>
      <c r="AB96">
        <v>104</v>
      </c>
      <c r="AC96">
        <v>6</v>
      </c>
      <c r="AD96">
        <v>98</v>
      </c>
      <c r="AE96">
        <v>3</v>
      </c>
      <c r="AF96">
        <v>3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3</v>
      </c>
      <c r="AQ96">
        <v>1</v>
      </c>
      <c r="AR96">
        <v>0</v>
      </c>
      <c r="AS96">
        <v>1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1</v>
      </c>
      <c r="BC96">
        <v>1</v>
      </c>
      <c r="BD96">
        <v>1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1</v>
      </c>
      <c r="BO96">
        <v>22</v>
      </c>
      <c r="BP96">
        <v>10</v>
      </c>
      <c r="BQ96">
        <v>9</v>
      </c>
      <c r="BR96">
        <v>0</v>
      </c>
      <c r="BS96">
        <v>2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1</v>
      </c>
      <c r="BZ96">
        <v>22</v>
      </c>
      <c r="CA96">
        <v>2</v>
      </c>
      <c r="CB96">
        <v>2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2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4</v>
      </c>
      <c r="CZ96">
        <v>2</v>
      </c>
      <c r="DA96">
        <v>1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1</v>
      </c>
      <c r="DJ96">
        <v>4</v>
      </c>
      <c r="DK96">
        <v>22</v>
      </c>
      <c r="DL96">
        <v>2</v>
      </c>
      <c r="DM96">
        <v>0</v>
      </c>
      <c r="DN96">
        <v>0</v>
      </c>
      <c r="DO96">
        <v>0</v>
      </c>
      <c r="DP96">
        <v>20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22</v>
      </c>
      <c r="DW96">
        <v>43</v>
      </c>
      <c r="DX96">
        <v>0</v>
      </c>
      <c r="DY96">
        <v>1</v>
      </c>
      <c r="DZ96">
        <v>0</v>
      </c>
      <c r="EA96">
        <v>41</v>
      </c>
      <c r="EB96">
        <v>0</v>
      </c>
      <c r="EC96">
        <v>0</v>
      </c>
      <c r="ED96">
        <v>0</v>
      </c>
      <c r="EE96">
        <v>0</v>
      </c>
      <c r="EF96">
        <v>1</v>
      </c>
      <c r="EG96">
        <v>0</v>
      </c>
      <c r="EH96">
        <v>43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0</v>
      </c>
    </row>
    <row r="97" spans="1:150" ht="12.75">
      <c r="A97">
        <v>92</v>
      </c>
      <c r="B97" t="str">
        <f aca="true" t="shared" si="17" ref="B97:B113">"060601"</f>
        <v>060601</v>
      </c>
      <c r="C97" t="str">
        <f aca="true" t="shared" si="18" ref="C97:C113">"m. Krasnystaw"</f>
        <v>m. Krasnystaw</v>
      </c>
      <c r="D97" t="str">
        <f aca="true" t="shared" si="19" ref="D97:D128">"krasnostawski"</f>
        <v>krasnostawski</v>
      </c>
      <c r="E97" t="str">
        <f t="shared" si="12"/>
        <v>lubelskie</v>
      </c>
      <c r="F97">
        <v>1</v>
      </c>
      <c r="G97" t="str">
        <f>"Zespół Szkół nr 5, ul. Mostowa 14, 22-300 Krasnystaw"</f>
        <v>Zespół Szkół nr 5, ul. Mostowa 14, 22-300 Krasnystaw</v>
      </c>
      <c r="H97">
        <v>938</v>
      </c>
      <c r="I97">
        <v>938</v>
      </c>
      <c r="J97">
        <v>0</v>
      </c>
      <c r="K97">
        <v>670</v>
      </c>
      <c r="L97">
        <v>509</v>
      </c>
      <c r="M97">
        <v>161</v>
      </c>
      <c r="N97">
        <v>161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161</v>
      </c>
      <c r="Z97">
        <v>0</v>
      </c>
      <c r="AA97">
        <v>0</v>
      </c>
      <c r="AB97">
        <v>161</v>
      </c>
      <c r="AC97">
        <v>4</v>
      </c>
      <c r="AD97">
        <v>157</v>
      </c>
      <c r="AE97">
        <v>5</v>
      </c>
      <c r="AF97">
        <v>1</v>
      </c>
      <c r="AG97">
        <v>0</v>
      </c>
      <c r="AH97">
        <v>1</v>
      </c>
      <c r="AI97">
        <v>0</v>
      </c>
      <c r="AJ97">
        <v>2</v>
      </c>
      <c r="AK97">
        <v>0</v>
      </c>
      <c r="AL97">
        <v>0</v>
      </c>
      <c r="AM97">
        <v>1</v>
      </c>
      <c r="AN97">
        <v>0</v>
      </c>
      <c r="AO97">
        <v>0</v>
      </c>
      <c r="AP97">
        <v>5</v>
      </c>
      <c r="AQ97">
        <v>4</v>
      </c>
      <c r="AR97">
        <v>3</v>
      </c>
      <c r="AS97">
        <v>0</v>
      </c>
      <c r="AT97">
        <v>0</v>
      </c>
      <c r="AU97">
        <v>0</v>
      </c>
      <c r="AV97">
        <v>0</v>
      </c>
      <c r="AW97">
        <v>1</v>
      </c>
      <c r="AX97">
        <v>0</v>
      </c>
      <c r="AY97">
        <v>0</v>
      </c>
      <c r="AZ97">
        <v>0</v>
      </c>
      <c r="BA97">
        <v>0</v>
      </c>
      <c r="BB97">
        <v>4</v>
      </c>
      <c r="BC97">
        <v>10</v>
      </c>
      <c r="BD97">
        <v>6</v>
      </c>
      <c r="BE97">
        <v>0</v>
      </c>
      <c r="BF97">
        <v>1</v>
      </c>
      <c r="BG97">
        <v>0</v>
      </c>
      <c r="BH97">
        <v>0</v>
      </c>
      <c r="BI97">
        <v>0</v>
      </c>
      <c r="BJ97">
        <v>1</v>
      </c>
      <c r="BK97">
        <v>0</v>
      </c>
      <c r="BL97">
        <v>2</v>
      </c>
      <c r="BM97">
        <v>0</v>
      </c>
      <c r="BN97">
        <v>10</v>
      </c>
      <c r="BO97">
        <v>35</v>
      </c>
      <c r="BP97">
        <v>8</v>
      </c>
      <c r="BQ97">
        <v>21</v>
      </c>
      <c r="BR97">
        <v>0</v>
      </c>
      <c r="BS97">
        <v>1</v>
      </c>
      <c r="BT97">
        <v>0</v>
      </c>
      <c r="BU97">
        <v>2</v>
      </c>
      <c r="BV97">
        <v>2</v>
      </c>
      <c r="BW97">
        <v>0</v>
      </c>
      <c r="BX97">
        <v>0</v>
      </c>
      <c r="BY97">
        <v>1</v>
      </c>
      <c r="BZ97">
        <v>35</v>
      </c>
      <c r="CA97">
        <v>7</v>
      </c>
      <c r="CB97">
        <v>6</v>
      </c>
      <c r="CC97">
        <v>0</v>
      </c>
      <c r="CD97">
        <v>0</v>
      </c>
      <c r="CE97">
        <v>1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7</v>
      </c>
      <c r="CM97">
        <v>4</v>
      </c>
      <c r="CN97">
        <v>2</v>
      </c>
      <c r="CO97">
        <v>2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4</v>
      </c>
      <c r="CY97">
        <v>17</v>
      </c>
      <c r="CZ97">
        <v>6</v>
      </c>
      <c r="DA97">
        <v>3</v>
      </c>
      <c r="DB97">
        <v>0</v>
      </c>
      <c r="DC97">
        <v>1</v>
      </c>
      <c r="DD97">
        <v>1</v>
      </c>
      <c r="DE97">
        <v>0</v>
      </c>
      <c r="DF97">
        <v>0</v>
      </c>
      <c r="DG97">
        <v>0</v>
      </c>
      <c r="DH97">
        <v>0</v>
      </c>
      <c r="DI97">
        <v>6</v>
      </c>
      <c r="DJ97">
        <v>17</v>
      </c>
      <c r="DK97">
        <v>49</v>
      </c>
      <c r="DL97">
        <v>19</v>
      </c>
      <c r="DM97">
        <v>2</v>
      </c>
      <c r="DN97">
        <v>2</v>
      </c>
      <c r="DO97">
        <v>1</v>
      </c>
      <c r="DP97">
        <v>22</v>
      </c>
      <c r="DQ97">
        <v>1</v>
      </c>
      <c r="DR97">
        <v>0</v>
      </c>
      <c r="DS97">
        <v>0</v>
      </c>
      <c r="DT97">
        <v>2</v>
      </c>
      <c r="DU97">
        <v>0</v>
      </c>
      <c r="DV97">
        <v>49</v>
      </c>
      <c r="DW97">
        <v>26</v>
      </c>
      <c r="DX97">
        <v>1</v>
      </c>
      <c r="DY97">
        <v>5</v>
      </c>
      <c r="DZ97">
        <v>0</v>
      </c>
      <c r="EA97">
        <v>18</v>
      </c>
      <c r="EB97">
        <v>0</v>
      </c>
      <c r="EC97">
        <v>0</v>
      </c>
      <c r="ED97">
        <v>0</v>
      </c>
      <c r="EE97">
        <v>0</v>
      </c>
      <c r="EF97">
        <v>1</v>
      </c>
      <c r="EG97">
        <v>1</v>
      </c>
      <c r="EH97">
        <v>26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0</v>
      </c>
      <c r="ET97">
        <v>0</v>
      </c>
    </row>
    <row r="98" spans="1:150" ht="12.75">
      <c r="A98">
        <v>93</v>
      </c>
      <c r="B98" t="str">
        <f t="shared" si="17"/>
        <v>060601</v>
      </c>
      <c r="C98" t="str">
        <f t="shared" si="18"/>
        <v>m. Krasnystaw</v>
      </c>
      <c r="D98" t="str">
        <f t="shared" si="19"/>
        <v>krasnostawski</v>
      </c>
      <c r="E98" t="str">
        <f t="shared" si="12"/>
        <v>lubelskie</v>
      </c>
      <c r="F98">
        <v>2</v>
      </c>
      <c r="G98" t="str">
        <f>"Dom Pomocy Społecznej, ul. Kwiatowa 1, 22-300 Krasnystaw"</f>
        <v>Dom Pomocy Społecznej, ul. Kwiatowa 1, 22-300 Krasnystaw</v>
      </c>
      <c r="H98">
        <v>1434</v>
      </c>
      <c r="I98">
        <v>1434</v>
      </c>
      <c r="J98">
        <v>0</v>
      </c>
      <c r="K98">
        <v>1000</v>
      </c>
      <c r="L98">
        <v>750</v>
      </c>
      <c r="M98">
        <v>250</v>
      </c>
      <c r="N98">
        <v>250</v>
      </c>
      <c r="O98">
        <v>0</v>
      </c>
      <c r="P98">
        <v>0</v>
      </c>
      <c r="Q98">
        <v>1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249</v>
      </c>
      <c r="Z98">
        <v>0</v>
      </c>
      <c r="AA98">
        <v>0</v>
      </c>
      <c r="AB98">
        <v>249</v>
      </c>
      <c r="AC98">
        <v>26</v>
      </c>
      <c r="AD98">
        <v>223</v>
      </c>
      <c r="AE98">
        <v>29</v>
      </c>
      <c r="AF98">
        <v>8</v>
      </c>
      <c r="AG98">
        <v>3</v>
      </c>
      <c r="AH98">
        <v>3</v>
      </c>
      <c r="AI98">
        <v>1</v>
      </c>
      <c r="AJ98">
        <v>8</v>
      </c>
      <c r="AK98">
        <v>1</v>
      </c>
      <c r="AL98">
        <v>0</v>
      </c>
      <c r="AM98">
        <v>1</v>
      </c>
      <c r="AN98">
        <v>1</v>
      </c>
      <c r="AO98">
        <v>3</v>
      </c>
      <c r="AP98">
        <v>29</v>
      </c>
      <c r="AQ98">
        <v>8</v>
      </c>
      <c r="AR98">
        <v>7</v>
      </c>
      <c r="AS98">
        <v>1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8</v>
      </c>
      <c r="BC98">
        <v>11</v>
      </c>
      <c r="BD98">
        <v>7</v>
      </c>
      <c r="BE98">
        <v>1</v>
      </c>
      <c r="BF98">
        <v>0</v>
      </c>
      <c r="BG98">
        <v>0</v>
      </c>
      <c r="BH98">
        <v>2</v>
      </c>
      <c r="BI98">
        <v>0</v>
      </c>
      <c r="BJ98">
        <v>0</v>
      </c>
      <c r="BK98">
        <v>1</v>
      </c>
      <c r="BL98">
        <v>0</v>
      </c>
      <c r="BM98">
        <v>0</v>
      </c>
      <c r="BN98">
        <v>11</v>
      </c>
      <c r="BO98">
        <v>62</v>
      </c>
      <c r="BP98">
        <v>21</v>
      </c>
      <c r="BQ98">
        <v>25</v>
      </c>
      <c r="BR98">
        <v>2</v>
      </c>
      <c r="BS98">
        <v>8</v>
      </c>
      <c r="BT98">
        <v>1</v>
      </c>
      <c r="BU98">
        <v>0</v>
      </c>
      <c r="BV98">
        <v>0</v>
      </c>
      <c r="BW98">
        <v>1</v>
      </c>
      <c r="BX98">
        <v>0</v>
      </c>
      <c r="BY98">
        <v>4</v>
      </c>
      <c r="BZ98">
        <v>62</v>
      </c>
      <c r="CA98">
        <v>7</v>
      </c>
      <c r="CB98">
        <v>5</v>
      </c>
      <c r="CC98">
        <v>2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7</v>
      </c>
      <c r="CM98">
        <v>7</v>
      </c>
      <c r="CN98">
        <v>6</v>
      </c>
      <c r="CO98">
        <v>0</v>
      </c>
      <c r="CP98">
        <v>0</v>
      </c>
      <c r="CQ98">
        <v>0</v>
      </c>
      <c r="CR98">
        <v>0</v>
      </c>
      <c r="CS98">
        <v>1</v>
      </c>
      <c r="CT98">
        <v>0</v>
      </c>
      <c r="CU98">
        <v>0</v>
      </c>
      <c r="CV98">
        <v>0</v>
      </c>
      <c r="CW98">
        <v>0</v>
      </c>
      <c r="CX98">
        <v>7</v>
      </c>
      <c r="CY98">
        <v>22</v>
      </c>
      <c r="CZ98">
        <v>10</v>
      </c>
      <c r="DA98">
        <v>1</v>
      </c>
      <c r="DB98">
        <v>3</v>
      </c>
      <c r="DC98">
        <v>3</v>
      </c>
      <c r="DD98">
        <v>1</v>
      </c>
      <c r="DE98">
        <v>0</v>
      </c>
      <c r="DF98">
        <v>0</v>
      </c>
      <c r="DG98">
        <v>0</v>
      </c>
      <c r="DH98">
        <v>1</v>
      </c>
      <c r="DI98">
        <v>3</v>
      </c>
      <c r="DJ98">
        <v>22</v>
      </c>
      <c r="DK98">
        <v>32</v>
      </c>
      <c r="DL98">
        <v>10</v>
      </c>
      <c r="DM98">
        <v>4</v>
      </c>
      <c r="DN98">
        <v>1</v>
      </c>
      <c r="DO98">
        <v>0</v>
      </c>
      <c r="DP98">
        <v>17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32</v>
      </c>
      <c r="DW98">
        <v>42</v>
      </c>
      <c r="DX98">
        <v>4</v>
      </c>
      <c r="DY98">
        <v>14</v>
      </c>
      <c r="DZ98">
        <v>1</v>
      </c>
      <c r="EA98">
        <v>23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42</v>
      </c>
      <c r="EI98">
        <v>3</v>
      </c>
      <c r="EJ98">
        <v>1</v>
      </c>
      <c r="EK98">
        <v>2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0</v>
      </c>
      <c r="ET98">
        <v>3</v>
      </c>
    </row>
    <row r="99" spans="1:150" ht="12.75">
      <c r="A99">
        <v>94</v>
      </c>
      <c r="B99" t="str">
        <f t="shared" si="17"/>
        <v>060601</v>
      </c>
      <c r="C99" t="str">
        <f t="shared" si="18"/>
        <v>m. Krasnystaw</v>
      </c>
      <c r="D99" t="str">
        <f t="shared" si="19"/>
        <v>krasnostawski</v>
      </c>
      <c r="E99" t="str">
        <f t="shared" si="12"/>
        <v>lubelskie</v>
      </c>
      <c r="F99">
        <v>3</v>
      </c>
      <c r="G99" t="str">
        <f>"Strażnica OSP Zastawie, ul. Stokowa 74a, 22-300 Krasnystaw"</f>
        <v>Strażnica OSP Zastawie, ul. Stokowa 74a, 22-300 Krasnystaw</v>
      </c>
      <c r="H99">
        <v>797</v>
      </c>
      <c r="I99">
        <v>797</v>
      </c>
      <c r="J99">
        <v>0</v>
      </c>
      <c r="K99">
        <v>559</v>
      </c>
      <c r="L99">
        <v>435</v>
      </c>
      <c r="M99">
        <v>124</v>
      </c>
      <c r="N99">
        <v>124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124</v>
      </c>
      <c r="Z99">
        <v>0</v>
      </c>
      <c r="AA99">
        <v>0</v>
      </c>
      <c r="AB99">
        <v>124</v>
      </c>
      <c r="AC99">
        <v>1</v>
      </c>
      <c r="AD99">
        <v>123</v>
      </c>
      <c r="AE99">
        <v>2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2</v>
      </c>
      <c r="AQ99">
        <v>3</v>
      </c>
      <c r="AR99">
        <v>1</v>
      </c>
      <c r="AS99">
        <v>2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3</v>
      </c>
      <c r="BC99">
        <v>2</v>
      </c>
      <c r="BD99">
        <v>1</v>
      </c>
      <c r="BE99">
        <v>0</v>
      </c>
      <c r="BF99">
        <v>0</v>
      </c>
      <c r="BG99">
        <v>0</v>
      </c>
      <c r="BH99">
        <v>1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2</v>
      </c>
      <c r="BO99">
        <v>38</v>
      </c>
      <c r="BP99">
        <v>14</v>
      </c>
      <c r="BQ99">
        <v>16</v>
      </c>
      <c r="BR99">
        <v>4</v>
      </c>
      <c r="BS99">
        <v>3</v>
      </c>
      <c r="BT99">
        <v>0</v>
      </c>
      <c r="BU99">
        <v>0</v>
      </c>
      <c r="BV99">
        <v>1</v>
      </c>
      <c r="BW99">
        <v>0</v>
      </c>
      <c r="BX99">
        <v>0</v>
      </c>
      <c r="BY99">
        <v>0</v>
      </c>
      <c r="BZ99">
        <v>38</v>
      </c>
      <c r="CA99">
        <v>10</v>
      </c>
      <c r="CB99">
        <v>5</v>
      </c>
      <c r="CC99">
        <v>4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1</v>
      </c>
      <c r="CK99">
        <v>0</v>
      </c>
      <c r="CL99">
        <v>10</v>
      </c>
      <c r="CM99">
        <v>2</v>
      </c>
      <c r="CN99">
        <v>1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1</v>
      </c>
      <c r="CU99">
        <v>0</v>
      </c>
      <c r="CV99">
        <v>0</v>
      </c>
      <c r="CW99">
        <v>0</v>
      </c>
      <c r="CX99">
        <v>2</v>
      </c>
      <c r="CY99">
        <v>8</v>
      </c>
      <c r="CZ99">
        <v>2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1</v>
      </c>
      <c r="DH99">
        <v>0</v>
      </c>
      <c r="DI99">
        <v>5</v>
      </c>
      <c r="DJ99">
        <v>8</v>
      </c>
      <c r="DK99">
        <v>36</v>
      </c>
      <c r="DL99">
        <v>13</v>
      </c>
      <c r="DM99">
        <v>5</v>
      </c>
      <c r="DN99">
        <v>3</v>
      </c>
      <c r="DO99">
        <v>1</v>
      </c>
      <c r="DP99">
        <v>13</v>
      </c>
      <c r="DQ99">
        <v>0</v>
      </c>
      <c r="DR99">
        <v>0</v>
      </c>
      <c r="DS99">
        <v>0</v>
      </c>
      <c r="DT99">
        <v>0</v>
      </c>
      <c r="DU99">
        <v>1</v>
      </c>
      <c r="DV99">
        <v>36</v>
      </c>
      <c r="DW99">
        <v>21</v>
      </c>
      <c r="DX99">
        <v>3</v>
      </c>
      <c r="DY99">
        <v>6</v>
      </c>
      <c r="DZ99">
        <v>1</v>
      </c>
      <c r="EA99">
        <v>11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21</v>
      </c>
      <c r="EI99">
        <v>1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1</v>
      </c>
      <c r="ET99">
        <v>1</v>
      </c>
    </row>
    <row r="100" spans="1:150" ht="12.75">
      <c r="A100">
        <v>95</v>
      </c>
      <c r="B100" t="str">
        <f t="shared" si="17"/>
        <v>060601</v>
      </c>
      <c r="C100" t="str">
        <f t="shared" si="18"/>
        <v>m. Krasnystaw</v>
      </c>
      <c r="D100" t="str">
        <f t="shared" si="19"/>
        <v>krasnostawski</v>
      </c>
      <c r="E100" t="str">
        <f t="shared" si="12"/>
        <v>lubelskie</v>
      </c>
      <c r="F100">
        <v>4</v>
      </c>
      <c r="G100" t="str">
        <f>"Specjalny Ośrodek Szkolno-Wychowawczy, ul. PCK 2, 22-300 Krasnystaw"</f>
        <v>Specjalny Ośrodek Szkolno-Wychowawczy, ul. PCK 2, 22-300 Krasnystaw</v>
      </c>
      <c r="H100">
        <v>868</v>
      </c>
      <c r="I100">
        <v>868</v>
      </c>
      <c r="J100">
        <v>0</v>
      </c>
      <c r="K100">
        <v>620</v>
      </c>
      <c r="L100">
        <v>430</v>
      </c>
      <c r="M100">
        <v>190</v>
      </c>
      <c r="N100">
        <v>190</v>
      </c>
      <c r="O100">
        <v>0</v>
      </c>
      <c r="P100">
        <v>2</v>
      </c>
      <c r="Q100">
        <v>1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190</v>
      </c>
      <c r="Z100">
        <v>0</v>
      </c>
      <c r="AA100">
        <v>0</v>
      </c>
      <c r="AB100">
        <v>190</v>
      </c>
      <c r="AC100">
        <v>1</v>
      </c>
      <c r="AD100">
        <v>189</v>
      </c>
      <c r="AE100">
        <v>9</v>
      </c>
      <c r="AF100">
        <v>2</v>
      </c>
      <c r="AG100">
        <v>0</v>
      </c>
      <c r="AH100">
        <v>0</v>
      </c>
      <c r="AI100">
        <v>1</v>
      </c>
      <c r="AJ100">
        <v>3</v>
      </c>
      <c r="AK100">
        <v>0</v>
      </c>
      <c r="AL100">
        <v>1</v>
      </c>
      <c r="AM100">
        <v>1</v>
      </c>
      <c r="AN100">
        <v>0</v>
      </c>
      <c r="AO100">
        <v>1</v>
      </c>
      <c r="AP100">
        <v>9</v>
      </c>
      <c r="AQ100">
        <v>4</v>
      </c>
      <c r="AR100">
        <v>3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1</v>
      </c>
      <c r="BB100">
        <v>4</v>
      </c>
      <c r="BC100">
        <v>13</v>
      </c>
      <c r="BD100">
        <v>11</v>
      </c>
      <c r="BE100">
        <v>0</v>
      </c>
      <c r="BF100">
        <v>0</v>
      </c>
      <c r="BG100">
        <v>0</v>
      </c>
      <c r="BH100">
        <v>2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13</v>
      </c>
      <c r="BO100">
        <v>72</v>
      </c>
      <c r="BP100">
        <v>24</v>
      </c>
      <c r="BQ100">
        <v>30</v>
      </c>
      <c r="BR100">
        <v>6</v>
      </c>
      <c r="BS100">
        <v>8</v>
      </c>
      <c r="BT100">
        <v>0</v>
      </c>
      <c r="BU100">
        <v>1</v>
      </c>
      <c r="BV100">
        <v>0</v>
      </c>
      <c r="BW100">
        <v>2</v>
      </c>
      <c r="BX100">
        <v>0</v>
      </c>
      <c r="BY100">
        <v>1</v>
      </c>
      <c r="BZ100">
        <v>72</v>
      </c>
      <c r="CA100">
        <v>12</v>
      </c>
      <c r="CB100">
        <v>9</v>
      </c>
      <c r="CC100">
        <v>2</v>
      </c>
      <c r="CD100">
        <v>0</v>
      </c>
      <c r="CE100">
        <v>1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12</v>
      </c>
      <c r="CM100">
        <v>10</v>
      </c>
      <c r="CN100">
        <v>6</v>
      </c>
      <c r="CO100">
        <v>0</v>
      </c>
      <c r="CP100">
        <v>0</v>
      </c>
      <c r="CQ100">
        <v>0</v>
      </c>
      <c r="CR100">
        <v>0</v>
      </c>
      <c r="CS100">
        <v>1</v>
      </c>
      <c r="CT100">
        <v>2</v>
      </c>
      <c r="CU100">
        <v>0</v>
      </c>
      <c r="CV100">
        <v>0</v>
      </c>
      <c r="CW100">
        <v>1</v>
      </c>
      <c r="CX100">
        <v>10</v>
      </c>
      <c r="CY100">
        <v>6</v>
      </c>
      <c r="CZ100">
        <v>2</v>
      </c>
      <c r="DA100">
        <v>0</v>
      </c>
      <c r="DB100">
        <v>1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3</v>
      </c>
      <c r="DJ100">
        <v>6</v>
      </c>
      <c r="DK100">
        <v>37</v>
      </c>
      <c r="DL100">
        <v>18</v>
      </c>
      <c r="DM100">
        <v>2</v>
      </c>
      <c r="DN100">
        <v>1</v>
      </c>
      <c r="DO100">
        <v>1</v>
      </c>
      <c r="DP100">
        <v>13</v>
      </c>
      <c r="DQ100">
        <v>0</v>
      </c>
      <c r="DR100">
        <v>0</v>
      </c>
      <c r="DS100">
        <v>0</v>
      </c>
      <c r="DT100">
        <v>2</v>
      </c>
      <c r="DU100">
        <v>0</v>
      </c>
      <c r="DV100">
        <v>37</v>
      </c>
      <c r="DW100">
        <v>25</v>
      </c>
      <c r="DX100">
        <v>5</v>
      </c>
      <c r="DY100">
        <v>9</v>
      </c>
      <c r="DZ100">
        <v>0</v>
      </c>
      <c r="EA100">
        <v>10</v>
      </c>
      <c r="EB100">
        <v>0</v>
      </c>
      <c r="EC100">
        <v>0</v>
      </c>
      <c r="ED100">
        <v>0</v>
      </c>
      <c r="EE100">
        <v>0</v>
      </c>
      <c r="EF100">
        <v>1</v>
      </c>
      <c r="EG100">
        <v>0</v>
      </c>
      <c r="EH100">
        <v>25</v>
      </c>
      <c r="EI100">
        <v>1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1</v>
      </c>
      <c r="ES100">
        <v>0</v>
      </c>
      <c r="ET100">
        <v>1</v>
      </c>
    </row>
    <row r="101" spans="1:150" ht="12.75">
      <c r="A101">
        <v>96</v>
      </c>
      <c r="B101" t="str">
        <f t="shared" si="17"/>
        <v>060601</v>
      </c>
      <c r="C101" t="str">
        <f t="shared" si="18"/>
        <v>m. Krasnystaw</v>
      </c>
      <c r="D101" t="str">
        <f t="shared" si="19"/>
        <v>krasnostawski</v>
      </c>
      <c r="E101" t="str">
        <f t="shared" si="12"/>
        <v>lubelskie</v>
      </c>
      <c r="F101">
        <v>5</v>
      </c>
      <c r="G101" t="str">
        <f>"Okręgowa Spółdzielnia Mleczarska, ul. Borowa 4, 22-300 Krasnystaw"</f>
        <v>Okręgowa Spółdzielnia Mleczarska, ul. Borowa 4, 22-300 Krasnystaw</v>
      </c>
      <c r="H101">
        <v>1068</v>
      </c>
      <c r="I101">
        <v>1068</v>
      </c>
      <c r="J101">
        <v>0</v>
      </c>
      <c r="K101">
        <v>750</v>
      </c>
      <c r="L101">
        <v>540</v>
      </c>
      <c r="M101">
        <v>210</v>
      </c>
      <c r="N101">
        <v>210</v>
      </c>
      <c r="O101">
        <v>0</v>
      </c>
      <c r="P101">
        <v>0</v>
      </c>
      <c r="Q101">
        <v>1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210</v>
      </c>
      <c r="Z101">
        <v>0</v>
      </c>
      <c r="AA101">
        <v>0</v>
      </c>
      <c r="AB101">
        <v>210</v>
      </c>
      <c r="AC101">
        <v>5</v>
      </c>
      <c r="AD101">
        <v>205</v>
      </c>
      <c r="AE101">
        <v>6</v>
      </c>
      <c r="AF101">
        <v>3</v>
      </c>
      <c r="AG101">
        <v>1</v>
      </c>
      <c r="AH101">
        <v>0</v>
      </c>
      <c r="AI101">
        <v>0</v>
      </c>
      <c r="AJ101">
        <v>2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6</v>
      </c>
      <c r="AQ101">
        <v>13</v>
      </c>
      <c r="AR101">
        <v>6</v>
      </c>
      <c r="AS101">
        <v>2</v>
      </c>
      <c r="AT101">
        <v>2</v>
      </c>
      <c r="AU101">
        <v>0</v>
      </c>
      <c r="AV101">
        <v>0</v>
      </c>
      <c r="AW101">
        <v>0</v>
      </c>
      <c r="AX101">
        <v>0</v>
      </c>
      <c r="AY101">
        <v>2</v>
      </c>
      <c r="AZ101">
        <v>0</v>
      </c>
      <c r="BA101">
        <v>1</v>
      </c>
      <c r="BB101">
        <v>13</v>
      </c>
      <c r="BC101">
        <v>14</v>
      </c>
      <c r="BD101">
        <v>7</v>
      </c>
      <c r="BE101">
        <v>0</v>
      </c>
      <c r="BF101">
        <v>1</v>
      </c>
      <c r="BG101">
        <v>0</v>
      </c>
      <c r="BH101">
        <v>2</v>
      </c>
      <c r="BI101">
        <v>0</v>
      </c>
      <c r="BJ101">
        <v>1</v>
      </c>
      <c r="BK101">
        <v>0</v>
      </c>
      <c r="BL101">
        <v>2</v>
      </c>
      <c r="BM101">
        <v>1</v>
      </c>
      <c r="BN101">
        <v>14</v>
      </c>
      <c r="BO101">
        <v>55</v>
      </c>
      <c r="BP101">
        <v>25</v>
      </c>
      <c r="BQ101">
        <v>23</v>
      </c>
      <c r="BR101">
        <v>2</v>
      </c>
      <c r="BS101">
        <v>1</v>
      </c>
      <c r="BT101">
        <v>1</v>
      </c>
      <c r="BU101">
        <v>0</v>
      </c>
      <c r="BV101">
        <v>1</v>
      </c>
      <c r="BW101">
        <v>1</v>
      </c>
      <c r="BX101">
        <v>1</v>
      </c>
      <c r="BY101">
        <v>0</v>
      </c>
      <c r="BZ101">
        <v>55</v>
      </c>
      <c r="CA101">
        <v>7</v>
      </c>
      <c r="CB101">
        <v>3</v>
      </c>
      <c r="CC101">
        <v>0</v>
      </c>
      <c r="CD101">
        <v>0</v>
      </c>
      <c r="CE101">
        <v>0</v>
      </c>
      <c r="CF101">
        <v>2</v>
      </c>
      <c r="CG101">
        <v>0</v>
      </c>
      <c r="CH101">
        <v>0</v>
      </c>
      <c r="CI101">
        <v>0</v>
      </c>
      <c r="CJ101">
        <v>1</v>
      </c>
      <c r="CK101">
        <v>1</v>
      </c>
      <c r="CL101">
        <v>7</v>
      </c>
      <c r="CM101">
        <v>14</v>
      </c>
      <c r="CN101">
        <v>8</v>
      </c>
      <c r="CO101">
        <v>0</v>
      </c>
      <c r="CP101">
        <v>0</v>
      </c>
      <c r="CQ101">
        <v>0</v>
      </c>
      <c r="CR101">
        <v>0</v>
      </c>
      <c r="CS101">
        <v>1</v>
      </c>
      <c r="CT101">
        <v>2</v>
      </c>
      <c r="CU101">
        <v>0</v>
      </c>
      <c r="CV101">
        <v>0</v>
      </c>
      <c r="CW101">
        <v>3</v>
      </c>
      <c r="CX101">
        <v>14</v>
      </c>
      <c r="CY101">
        <v>24</v>
      </c>
      <c r="CZ101">
        <v>8</v>
      </c>
      <c r="DA101">
        <v>2</v>
      </c>
      <c r="DB101">
        <v>2</v>
      </c>
      <c r="DC101">
        <v>1</v>
      </c>
      <c r="DD101">
        <v>2</v>
      </c>
      <c r="DE101">
        <v>0</v>
      </c>
      <c r="DF101">
        <v>0</v>
      </c>
      <c r="DG101">
        <v>1</v>
      </c>
      <c r="DH101">
        <v>0</v>
      </c>
      <c r="DI101">
        <v>8</v>
      </c>
      <c r="DJ101">
        <v>24</v>
      </c>
      <c r="DK101">
        <v>39</v>
      </c>
      <c r="DL101">
        <v>11</v>
      </c>
      <c r="DM101">
        <v>5</v>
      </c>
      <c r="DN101">
        <v>0</v>
      </c>
      <c r="DO101">
        <v>0</v>
      </c>
      <c r="DP101">
        <v>19</v>
      </c>
      <c r="DQ101">
        <v>2</v>
      </c>
      <c r="DR101">
        <v>1</v>
      </c>
      <c r="DS101">
        <v>0</v>
      </c>
      <c r="DT101">
        <v>1</v>
      </c>
      <c r="DU101">
        <v>0</v>
      </c>
      <c r="DV101">
        <v>39</v>
      </c>
      <c r="DW101">
        <v>33</v>
      </c>
      <c r="DX101">
        <v>5</v>
      </c>
      <c r="DY101">
        <v>0</v>
      </c>
      <c r="DZ101">
        <v>14</v>
      </c>
      <c r="EA101">
        <v>0</v>
      </c>
      <c r="EB101">
        <v>13</v>
      </c>
      <c r="EC101">
        <v>1</v>
      </c>
      <c r="ED101">
        <v>0</v>
      </c>
      <c r="EE101">
        <v>0</v>
      </c>
      <c r="EF101">
        <v>0</v>
      </c>
      <c r="EG101">
        <v>0</v>
      </c>
      <c r="EH101">
        <v>33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</row>
    <row r="102" spans="1:150" ht="12.75">
      <c r="A102">
        <v>97</v>
      </c>
      <c r="B102" t="str">
        <f t="shared" si="17"/>
        <v>060601</v>
      </c>
      <c r="C102" t="str">
        <f t="shared" si="18"/>
        <v>m. Krasnystaw</v>
      </c>
      <c r="D102" t="str">
        <f t="shared" si="19"/>
        <v>krasnostawski</v>
      </c>
      <c r="E102" t="str">
        <f t="shared" si="12"/>
        <v>lubelskie</v>
      </c>
      <c r="F102">
        <v>6</v>
      </c>
      <c r="G102" t="str">
        <f>"Zespół Szkół nr 4, ul. Marszałka Piłsudskiego 21, 22-300 Krasnystaw"</f>
        <v>Zespół Szkół nr 4, ul. Marszałka Piłsudskiego 21, 22-300 Krasnystaw</v>
      </c>
      <c r="H102">
        <v>942</v>
      </c>
      <c r="I102">
        <v>942</v>
      </c>
      <c r="J102">
        <v>0</v>
      </c>
      <c r="K102">
        <v>670</v>
      </c>
      <c r="L102">
        <v>411</v>
      </c>
      <c r="M102">
        <v>259</v>
      </c>
      <c r="N102">
        <v>259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259</v>
      </c>
      <c r="Z102">
        <v>0</v>
      </c>
      <c r="AA102">
        <v>0</v>
      </c>
      <c r="AB102">
        <v>259</v>
      </c>
      <c r="AC102">
        <v>2</v>
      </c>
      <c r="AD102">
        <v>257</v>
      </c>
      <c r="AE102">
        <v>4</v>
      </c>
      <c r="AF102">
        <v>2</v>
      </c>
      <c r="AG102">
        <v>0</v>
      </c>
      <c r="AH102">
        <v>1</v>
      </c>
      <c r="AI102">
        <v>0</v>
      </c>
      <c r="AJ102">
        <v>1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4</v>
      </c>
      <c r="AQ102">
        <v>4</v>
      </c>
      <c r="AR102">
        <v>3</v>
      </c>
      <c r="AS102">
        <v>1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4</v>
      </c>
      <c r="BC102">
        <v>27</v>
      </c>
      <c r="BD102">
        <v>18</v>
      </c>
      <c r="BE102">
        <v>1</v>
      </c>
      <c r="BF102">
        <v>1</v>
      </c>
      <c r="BG102">
        <v>0</v>
      </c>
      <c r="BH102">
        <v>5</v>
      </c>
      <c r="BI102">
        <v>1</v>
      </c>
      <c r="BJ102">
        <v>0</v>
      </c>
      <c r="BK102">
        <v>0</v>
      </c>
      <c r="BL102">
        <v>1</v>
      </c>
      <c r="BM102">
        <v>0</v>
      </c>
      <c r="BN102">
        <v>27</v>
      </c>
      <c r="BO102">
        <v>101</v>
      </c>
      <c r="BP102">
        <v>38</v>
      </c>
      <c r="BQ102">
        <v>46</v>
      </c>
      <c r="BR102">
        <v>4</v>
      </c>
      <c r="BS102">
        <v>9</v>
      </c>
      <c r="BT102">
        <v>0</v>
      </c>
      <c r="BU102">
        <v>0</v>
      </c>
      <c r="BV102">
        <v>0</v>
      </c>
      <c r="BW102">
        <v>4</v>
      </c>
      <c r="BX102">
        <v>0</v>
      </c>
      <c r="BY102">
        <v>0</v>
      </c>
      <c r="BZ102">
        <v>101</v>
      </c>
      <c r="CA102">
        <v>6</v>
      </c>
      <c r="CB102">
        <v>5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1</v>
      </c>
      <c r="CJ102">
        <v>0</v>
      </c>
      <c r="CK102">
        <v>0</v>
      </c>
      <c r="CL102">
        <v>6</v>
      </c>
      <c r="CM102">
        <v>5</v>
      </c>
      <c r="CN102">
        <v>1</v>
      </c>
      <c r="CO102">
        <v>0</v>
      </c>
      <c r="CP102">
        <v>0</v>
      </c>
      <c r="CQ102">
        <v>2</v>
      </c>
      <c r="CR102">
        <v>0</v>
      </c>
      <c r="CS102">
        <v>0</v>
      </c>
      <c r="CT102">
        <v>0</v>
      </c>
      <c r="CU102">
        <v>0</v>
      </c>
      <c r="CV102">
        <v>2</v>
      </c>
      <c r="CW102">
        <v>0</v>
      </c>
      <c r="CX102">
        <v>5</v>
      </c>
      <c r="CY102">
        <v>14</v>
      </c>
      <c r="CZ102">
        <v>7</v>
      </c>
      <c r="DA102">
        <v>1</v>
      </c>
      <c r="DB102">
        <v>1</v>
      </c>
      <c r="DC102">
        <v>0</v>
      </c>
      <c r="DD102">
        <v>0</v>
      </c>
      <c r="DE102">
        <v>0</v>
      </c>
      <c r="DF102">
        <v>1</v>
      </c>
      <c r="DG102">
        <v>0</v>
      </c>
      <c r="DH102">
        <v>0</v>
      </c>
      <c r="DI102">
        <v>4</v>
      </c>
      <c r="DJ102">
        <v>14</v>
      </c>
      <c r="DK102">
        <v>58</v>
      </c>
      <c r="DL102">
        <v>19</v>
      </c>
      <c r="DM102">
        <v>4</v>
      </c>
      <c r="DN102">
        <v>3</v>
      </c>
      <c r="DO102">
        <v>2</v>
      </c>
      <c r="DP102">
        <v>28</v>
      </c>
      <c r="DQ102">
        <v>1</v>
      </c>
      <c r="DR102">
        <v>0</v>
      </c>
      <c r="DS102">
        <v>0</v>
      </c>
      <c r="DT102">
        <v>0</v>
      </c>
      <c r="DU102">
        <v>1</v>
      </c>
      <c r="DV102">
        <v>58</v>
      </c>
      <c r="DW102">
        <v>37</v>
      </c>
      <c r="DX102">
        <v>8</v>
      </c>
      <c r="DY102">
        <v>9</v>
      </c>
      <c r="DZ102">
        <v>1</v>
      </c>
      <c r="EA102">
        <v>19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37</v>
      </c>
      <c r="EI102">
        <v>1</v>
      </c>
      <c r="EJ102">
        <v>0</v>
      </c>
      <c r="EK102">
        <v>0</v>
      </c>
      <c r="EL102">
        <v>0</v>
      </c>
      <c r="EM102">
        <v>1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1</v>
      </c>
    </row>
    <row r="103" spans="1:150" ht="12.75">
      <c r="A103">
        <v>98</v>
      </c>
      <c r="B103" t="str">
        <f t="shared" si="17"/>
        <v>060601</v>
      </c>
      <c r="C103" t="str">
        <f t="shared" si="18"/>
        <v>m. Krasnystaw</v>
      </c>
      <c r="D103" t="str">
        <f t="shared" si="19"/>
        <v>krasnostawski</v>
      </c>
      <c r="E103" t="str">
        <f t="shared" si="12"/>
        <v>lubelskie</v>
      </c>
      <c r="F103">
        <v>7</v>
      </c>
      <c r="G103" t="str">
        <f>"Zespół Szkół Nr 1, ul. Poniatowskiego 37, 22-300 Krasnystaw"</f>
        <v>Zespół Szkół Nr 1, ul. Poniatowskiego 37, 22-300 Krasnystaw</v>
      </c>
      <c r="H103">
        <v>1110</v>
      </c>
      <c r="I103">
        <v>1110</v>
      </c>
      <c r="J103">
        <v>0</v>
      </c>
      <c r="K103">
        <v>778</v>
      </c>
      <c r="L103">
        <v>526</v>
      </c>
      <c r="M103">
        <v>252</v>
      </c>
      <c r="N103">
        <v>252</v>
      </c>
      <c r="O103">
        <v>0</v>
      </c>
      <c r="P103">
        <v>0</v>
      </c>
      <c r="Q103">
        <v>2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252</v>
      </c>
      <c r="Z103">
        <v>0</v>
      </c>
      <c r="AA103">
        <v>0</v>
      </c>
      <c r="AB103">
        <v>252</v>
      </c>
      <c r="AC103">
        <v>8</v>
      </c>
      <c r="AD103">
        <v>244</v>
      </c>
      <c r="AE103">
        <v>6</v>
      </c>
      <c r="AF103">
        <v>4</v>
      </c>
      <c r="AG103">
        <v>0</v>
      </c>
      <c r="AH103">
        <v>0</v>
      </c>
      <c r="AI103">
        <v>0</v>
      </c>
      <c r="AJ103">
        <v>2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6</v>
      </c>
      <c r="AQ103">
        <v>4</v>
      </c>
      <c r="AR103">
        <v>2</v>
      </c>
      <c r="AS103">
        <v>0</v>
      </c>
      <c r="AT103">
        <v>1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1</v>
      </c>
      <c r="BB103">
        <v>4</v>
      </c>
      <c r="BC103">
        <v>7</v>
      </c>
      <c r="BD103">
        <v>1</v>
      </c>
      <c r="BE103">
        <v>0</v>
      </c>
      <c r="BF103">
        <v>1</v>
      </c>
      <c r="BG103">
        <v>1</v>
      </c>
      <c r="BH103">
        <v>0</v>
      </c>
      <c r="BI103">
        <v>0</v>
      </c>
      <c r="BJ103">
        <v>0</v>
      </c>
      <c r="BK103">
        <v>0</v>
      </c>
      <c r="BL103">
        <v>1</v>
      </c>
      <c r="BM103">
        <v>3</v>
      </c>
      <c r="BN103">
        <v>7</v>
      </c>
      <c r="BO103">
        <v>85</v>
      </c>
      <c r="BP103">
        <v>48</v>
      </c>
      <c r="BQ103">
        <v>11</v>
      </c>
      <c r="BR103">
        <v>20</v>
      </c>
      <c r="BS103">
        <v>3</v>
      </c>
      <c r="BT103">
        <v>1</v>
      </c>
      <c r="BU103">
        <v>0</v>
      </c>
      <c r="BV103">
        <v>0</v>
      </c>
      <c r="BW103">
        <v>1</v>
      </c>
      <c r="BX103">
        <v>0</v>
      </c>
      <c r="BY103">
        <v>1</v>
      </c>
      <c r="BZ103">
        <v>85</v>
      </c>
      <c r="CA103">
        <v>3</v>
      </c>
      <c r="CB103">
        <v>3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3</v>
      </c>
      <c r="CM103">
        <v>10</v>
      </c>
      <c r="CN103">
        <v>5</v>
      </c>
      <c r="CO103">
        <v>1</v>
      </c>
      <c r="CP103">
        <v>0</v>
      </c>
      <c r="CQ103">
        <v>1</v>
      </c>
      <c r="CR103">
        <v>0</v>
      </c>
      <c r="CS103">
        <v>1</v>
      </c>
      <c r="CT103">
        <v>0</v>
      </c>
      <c r="CU103">
        <v>0</v>
      </c>
      <c r="CV103">
        <v>2</v>
      </c>
      <c r="CW103">
        <v>0</v>
      </c>
      <c r="CX103">
        <v>10</v>
      </c>
      <c r="CY103">
        <v>18</v>
      </c>
      <c r="CZ103">
        <v>10</v>
      </c>
      <c r="DA103">
        <v>0</v>
      </c>
      <c r="DB103">
        <v>0</v>
      </c>
      <c r="DC103">
        <v>0</v>
      </c>
      <c r="DD103">
        <v>1</v>
      </c>
      <c r="DE103">
        <v>0</v>
      </c>
      <c r="DF103">
        <v>0</v>
      </c>
      <c r="DG103">
        <v>0</v>
      </c>
      <c r="DH103">
        <v>0</v>
      </c>
      <c r="DI103">
        <v>7</v>
      </c>
      <c r="DJ103">
        <v>18</v>
      </c>
      <c r="DK103">
        <v>64</v>
      </c>
      <c r="DL103">
        <v>32</v>
      </c>
      <c r="DM103">
        <v>10</v>
      </c>
      <c r="DN103">
        <v>4</v>
      </c>
      <c r="DO103">
        <v>0</v>
      </c>
      <c r="DP103">
        <v>17</v>
      </c>
      <c r="DQ103">
        <v>0</v>
      </c>
      <c r="DR103">
        <v>0</v>
      </c>
      <c r="DS103">
        <v>0</v>
      </c>
      <c r="DT103">
        <v>1</v>
      </c>
      <c r="DU103">
        <v>0</v>
      </c>
      <c r="DV103">
        <v>64</v>
      </c>
      <c r="DW103">
        <v>45</v>
      </c>
      <c r="DX103">
        <v>4</v>
      </c>
      <c r="DY103">
        <v>18</v>
      </c>
      <c r="DZ103">
        <v>2</v>
      </c>
      <c r="EA103">
        <v>19</v>
      </c>
      <c r="EB103">
        <v>1</v>
      </c>
      <c r="EC103">
        <v>0</v>
      </c>
      <c r="ED103">
        <v>0</v>
      </c>
      <c r="EE103">
        <v>0</v>
      </c>
      <c r="EF103">
        <v>1</v>
      </c>
      <c r="EG103">
        <v>0</v>
      </c>
      <c r="EH103">
        <v>45</v>
      </c>
      <c r="EI103">
        <v>2</v>
      </c>
      <c r="EJ103">
        <v>0</v>
      </c>
      <c r="EK103">
        <v>0</v>
      </c>
      <c r="EL103">
        <v>0</v>
      </c>
      <c r="EM103">
        <v>2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2</v>
      </c>
    </row>
    <row r="104" spans="1:150" ht="12.75">
      <c r="A104">
        <v>99</v>
      </c>
      <c r="B104" t="str">
        <f t="shared" si="17"/>
        <v>060601</v>
      </c>
      <c r="C104" t="str">
        <f t="shared" si="18"/>
        <v>m. Krasnystaw</v>
      </c>
      <c r="D104" t="str">
        <f t="shared" si="19"/>
        <v>krasnostawski</v>
      </c>
      <c r="E104" t="str">
        <f t="shared" si="12"/>
        <v>lubelskie</v>
      </c>
      <c r="F104">
        <v>8</v>
      </c>
      <c r="G104" t="str">
        <f>"Zespół Szkół Nr 1, ul. Poniatowskiego 37, 22-300 Krasnystaw"</f>
        <v>Zespół Szkół Nr 1, ul. Poniatowskiego 37, 22-300 Krasnystaw</v>
      </c>
      <c r="H104">
        <v>859</v>
      </c>
      <c r="I104">
        <v>859</v>
      </c>
      <c r="J104">
        <v>0</v>
      </c>
      <c r="K104">
        <v>600</v>
      </c>
      <c r="L104">
        <v>364</v>
      </c>
      <c r="M104">
        <v>236</v>
      </c>
      <c r="N104">
        <v>236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236</v>
      </c>
      <c r="Z104">
        <v>0</v>
      </c>
      <c r="AA104">
        <v>0</v>
      </c>
      <c r="AB104">
        <v>236</v>
      </c>
      <c r="AC104">
        <v>5</v>
      </c>
      <c r="AD104">
        <v>231</v>
      </c>
      <c r="AE104">
        <v>4</v>
      </c>
      <c r="AF104">
        <v>2</v>
      </c>
      <c r="AG104">
        <v>0</v>
      </c>
      <c r="AH104">
        <v>0</v>
      </c>
      <c r="AI104">
        <v>0</v>
      </c>
      <c r="AJ104">
        <v>0</v>
      </c>
      <c r="AK104">
        <v>1</v>
      </c>
      <c r="AL104">
        <v>0</v>
      </c>
      <c r="AM104">
        <v>1</v>
      </c>
      <c r="AN104">
        <v>0</v>
      </c>
      <c r="AO104">
        <v>0</v>
      </c>
      <c r="AP104">
        <v>4</v>
      </c>
      <c r="AQ104">
        <v>5</v>
      </c>
      <c r="AR104">
        <v>4</v>
      </c>
      <c r="AS104">
        <v>1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5</v>
      </c>
      <c r="BC104">
        <v>15</v>
      </c>
      <c r="BD104">
        <v>8</v>
      </c>
      <c r="BE104">
        <v>0</v>
      </c>
      <c r="BF104">
        <v>2</v>
      </c>
      <c r="BG104">
        <v>0</v>
      </c>
      <c r="BH104">
        <v>4</v>
      </c>
      <c r="BI104">
        <v>1</v>
      </c>
      <c r="BJ104">
        <v>0</v>
      </c>
      <c r="BK104">
        <v>0</v>
      </c>
      <c r="BL104">
        <v>0</v>
      </c>
      <c r="BM104">
        <v>0</v>
      </c>
      <c r="BN104">
        <v>15</v>
      </c>
      <c r="BO104">
        <v>67</v>
      </c>
      <c r="BP104">
        <v>28</v>
      </c>
      <c r="BQ104">
        <v>25</v>
      </c>
      <c r="BR104">
        <v>2</v>
      </c>
      <c r="BS104">
        <v>2</v>
      </c>
      <c r="BT104">
        <v>0</v>
      </c>
      <c r="BU104">
        <v>0</v>
      </c>
      <c r="BV104">
        <v>4</v>
      </c>
      <c r="BW104">
        <v>3</v>
      </c>
      <c r="BX104">
        <v>2</v>
      </c>
      <c r="BY104">
        <v>1</v>
      </c>
      <c r="BZ104">
        <v>67</v>
      </c>
      <c r="CA104">
        <v>9</v>
      </c>
      <c r="CB104">
        <v>7</v>
      </c>
      <c r="CC104">
        <v>1</v>
      </c>
      <c r="CD104">
        <v>0</v>
      </c>
      <c r="CE104">
        <v>0</v>
      </c>
      <c r="CF104">
        <v>1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9</v>
      </c>
      <c r="CM104">
        <v>4</v>
      </c>
      <c r="CN104">
        <v>4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4</v>
      </c>
      <c r="CY104">
        <v>20</v>
      </c>
      <c r="CZ104">
        <v>8</v>
      </c>
      <c r="DA104">
        <v>1</v>
      </c>
      <c r="DB104">
        <v>0</v>
      </c>
      <c r="DC104">
        <v>1</v>
      </c>
      <c r="DD104">
        <v>0</v>
      </c>
      <c r="DE104">
        <v>0</v>
      </c>
      <c r="DF104">
        <v>1</v>
      </c>
      <c r="DG104">
        <v>1</v>
      </c>
      <c r="DH104">
        <v>0</v>
      </c>
      <c r="DI104">
        <v>8</v>
      </c>
      <c r="DJ104">
        <v>20</v>
      </c>
      <c r="DK104">
        <v>58</v>
      </c>
      <c r="DL104">
        <v>18</v>
      </c>
      <c r="DM104">
        <v>3</v>
      </c>
      <c r="DN104">
        <v>7</v>
      </c>
      <c r="DO104">
        <v>0</v>
      </c>
      <c r="DP104">
        <v>29</v>
      </c>
      <c r="DQ104">
        <v>1</v>
      </c>
      <c r="DR104">
        <v>0</v>
      </c>
      <c r="DS104">
        <v>0</v>
      </c>
      <c r="DT104">
        <v>0</v>
      </c>
      <c r="DU104">
        <v>0</v>
      </c>
      <c r="DV104">
        <v>58</v>
      </c>
      <c r="DW104">
        <v>45</v>
      </c>
      <c r="DX104">
        <v>9</v>
      </c>
      <c r="DY104">
        <v>14</v>
      </c>
      <c r="DZ104">
        <v>0</v>
      </c>
      <c r="EA104">
        <v>21</v>
      </c>
      <c r="EB104">
        <v>0</v>
      </c>
      <c r="EC104">
        <v>1</v>
      </c>
      <c r="ED104">
        <v>0</v>
      </c>
      <c r="EE104">
        <v>0</v>
      </c>
      <c r="EF104">
        <v>0</v>
      </c>
      <c r="EG104">
        <v>0</v>
      </c>
      <c r="EH104">
        <v>45</v>
      </c>
      <c r="EI104">
        <v>4</v>
      </c>
      <c r="EJ104">
        <v>4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4</v>
      </c>
    </row>
    <row r="105" spans="1:150" ht="12.75">
      <c r="A105">
        <v>100</v>
      </c>
      <c r="B105" t="str">
        <f t="shared" si="17"/>
        <v>060601</v>
      </c>
      <c r="C105" t="str">
        <f t="shared" si="18"/>
        <v>m. Krasnystaw</v>
      </c>
      <c r="D105" t="str">
        <f t="shared" si="19"/>
        <v>krasnostawski</v>
      </c>
      <c r="E105" t="str">
        <f t="shared" si="12"/>
        <v>lubelskie</v>
      </c>
      <c r="F105">
        <v>9</v>
      </c>
      <c r="G105" t="str">
        <f>"Krasnostawski Dom Kultury, ul. Okrzei 10, 22-300 Krasnystaw"</f>
        <v>Krasnostawski Dom Kultury, ul. Okrzei 10, 22-300 Krasnystaw</v>
      </c>
      <c r="H105">
        <v>1143</v>
      </c>
      <c r="I105">
        <v>1143</v>
      </c>
      <c r="J105">
        <v>0</v>
      </c>
      <c r="K105">
        <v>810</v>
      </c>
      <c r="L105">
        <v>520</v>
      </c>
      <c r="M105">
        <v>290</v>
      </c>
      <c r="N105">
        <v>290</v>
      </c>
      <c r="O105">
        <v>0</v>
      </c>
      <c r="P105">
        <v>0</v>
      </c>
      <c r="Q105">
        <v>1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290</v>
      </c>
      <c r="Z105">
        <v>0</v>
      </c>
      <c r="AA105">
        <v>0</v>
      </c>
      <c r="AB105">
        <v>290</v>
      </c>
      <c r="AC105">
        <v>11</v>
      </c>
      <c r="AD105">
        <v>279</v>
      </c>
      <c r="AE105">
        <v>8</v>
      </c>
      <c r="AF105">
        <v>1</v>
      </c>
      <c r="AG105">
        <v>1</v>
      </c>
      <c r="AH105">
        <v>0</v>
      </c>
      <c r="AI105">
        <v>0</v>
      </c>
      <c r="AJ105">
        <v>3</v>
      </c>
      <c r="AK105">
        <v>0</v>
      </c>
      <c r="AL105">
        <v>0</v>
      </c>
      <c r="AM105">
        <v>2</v>
      </c>
      <c r="AN105">
        <v>0</v>
      </c>
      <c r="AO105">
        <v>1</v>
      </c>
      <c r="AP105">
        <v>8</v>
      </c>
      <c r="AQ105">
        <v>12</v>
      </c>
      <c r="AR105">
        <v>10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2</v>
      </c>
      <c r="BB105">
        <v>12</v>
      </c>
      <c r="BC105">
        <v>24</v>
      </c>
      <c r="BD105">
        <v>13</v>
      </c>
      <c r="BE105">
        <v>2</v>
      </c>
      <c r="BF105">
        <v>1</v>
      </c>
      <c r="BG105">
        <v>0</v>
      </c>
      <c r="BH105">
        <v>6</v>
      </c>
      <c r="BI105">
        <v>1</v>
      </c>
      <c r="BJ105">
        <v>1</v>
      </c>
      <c r="BK105">
        <v>0</v>
      </c>
      <c r="BL105">
        <v>0</v>
      </c>
      <c r="BM105">
        <v>0</v>
      </c>
      <c r="BN105">
        <v>24</v>
      </c>
      <c r="BO105">
        <v>103</v>
      </c>
      <c r="BP105">
        <v>46</v>
      </c>
      <c r="BQ105">
        <v>29</v>
      </c>
      <c r="BR105">
        <v>6</v>
      </c>
      <c r="BS105">
        <v>15</v>
      </c>
      <c r="BT105">
        <v>1</v>
      </c>
      <c r="BU105">
        <v>1</v>
      </c>
      <c r="BV105">
        <v>0</v>
      </c>
      <c r="BW105">
        <v>1</v>
      </c>
      <c r="BX105">
        <v>0</v>
      </c>
      <c r="BY105">
        <v>4</v>
      </c>
      <c r="BZ105">
        <v>103</v>
      </c>
      <c r="CA105">
        <v>16</v>
      </c>
      <c r="CB105">
        <v>12</v>
      </c>
      <c r="CC105">
        <v>0</v>
      </c>
      <c r="CD105">
        <v>0</v>
      </c>
      <c r="CE105">
        <v>1</v>
      </c>
      <c r="CF105">
        <v>0</v>
      </c>
      <c r="CG105">
        <v>1</v>
      </c>
      <c r="CH105">
        <v>0</v>
      </c>
      <c r="CI105">
        <v>0</v>
      </c>
      <c r="CJ105">
        <v>0</v>
      </c>
      <c r="CK105">
        <v>2</v>
      </c>
      <c r="CL105">
        <v>16</v>
      </c>
      <c r="CM105">
        <v>10</v>
      </c>
      <c r="CN105">
        <v>7</v>
      </c>
      <c r="CO105">
        <v>0</v>
      </c>
      <c r="CP105">
        <v>0</v>
      </c>
      <c r="CQ105">
        <v>3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10</v>
      </c>
      <c r="CY105">
        <v>8</v>
      </c>
      <c r="CZ105">
        <v>1</v>
      </c>
      <c r="DA105">
        <v>2</v>
      </c>
      <c r="DB105">
        <v>2</v>
      </c>
      <c r="DC105">
        <v>0</v>
      </c>
      <c r="DD105">
        <v>1</v>
      </c>
      <c r="DE105">
        <v>0</v>
      </c>
      <c r="DF105">
        <v>0</v>
      </c>
      <c r="DG105">
        <v>0</v>
      </c>
      <c r="DH105">
        <v>0</v>
      </c>
      <c r="DI105">
        <v>2</v>
      </c>
      <c r="DJ105">
        <v>8</v>
      </c>
      <c r="DK105">
        <v>59</v>
      </c>
      <c r="DL105">
        <v>23</v>
      </c>
      <c r="DM105">
        <v>6</v>
      </c>
      <c r="DN105">
        <v>4</v>
      </c>
      <c r="DO105">
        <v>2</v>
      </c>
      <c r="DP105">
        <v>22</v>
      </c>
      <c r="DQ105">
        <v>1</v>
      </c>
      <c r="DR105">
        <v>1</v>
      </c>
      <c r="DS105">
        <v>0</v>
      </c>
      <c r="DT105">
        <v>0</v>
      </c>
      <c r="DU105">
        <v>0</v>
      </c>
      <c r="DV105">
        <v>59</v>
      </c>
      <c r="DW105">
        <v>39</v>
      </c>
      <c r="DX105">
        <v>6</v>
      </c>
      <c r="DY105">
        <v>10</v>
      </c>
      <c r="DZ105">
        <v>2</v>
      </c>
      <c r="EA105">
        <v>21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39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</row>
    <row r="106" spans="1:150" ht="12.75">
      <c r="A106">
        <v>101</v>
      </c>
      <c r="B106" t="str">
        <f t="shared" si="17"/>
        <v>060601</v>
      </c>
      <c r="C106" t="str">
        <f t="shared" si="18"/>
        <v>m. Krasnystaw</v>
      </c>
      <c r="D106" t="str">
        <f t="shared" si="19"/>
        <v>krasnostawski</v>
      </c>
      <c r="E106" t="str">
        <f t="shared" si="12"/>
        <v>lubelskie</v>
      </c>
      <c r="F106">
        <v>10</v>
      </c>
      <c r="G106" t="str">
        <f>"Krasnostawski Dom Kultury, ul. Okrzei 10, 22-300 Krasnystaw"</f>
        <v>Krasnostawski Dom Kultury, ul. Okrzei 10, 22-300 Krasnystaw</v>
      </c>
      <c r="H106">
        <v>1009</v>
      </c>
      <c r="I106">
        <v>1009</v>
      </c>
      <c r="J106">
        <v>0</v>
      </c>
      <c r="K106">
        <v>710</v>
      </c>
      <c r="L106">
        <v>540</v>
      </c>
      <c r="M106">
        <v>170</v>
      </c>
      <c r="N106">
        <v>170</v>
      </c>
      <c r="O106">
        <v>0</v>
      </c>
      <c r="P106">
        <v>0</v>
      </c>
      <c r="Q106">
        <v>2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170</v>
      </c>
      <c r="Z106">
        <v>0</v>
      </c>
      <c r="AA106">
        <v>0</v>
      </c>
      <c r="AB106">
        <v>170</v>
      </c>
      <c r="AC106">
        <v>4</v>
      </c>
      <c r="AD106">
        <v>166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4</v>
      </c>
      <c r="AR106">
        <v>3</v>
      </c>
      <c r="AS106">
        <v>1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4</v>
      </c>
      <c r="BC106">
        <v>14</v>
      </c>
      <c r="BD106">
        <v>8</v>
      </c>
      <c r="BE106">
        <v>1</v>
      </c>
      <c r="BF106">
        <v>0</v>
      </c>
      <c r="BG106">
        <v>0</v>
      </c>
      <c r="BH106">
        <v>2</v>
      </c>
      <c r="BI106">
        <v>1</v>
      </c>
      <c r="BJ106">
        <v>0</v>
      </c>
      <c r="BK106">
        <v>1</v>
      </c>
      <c r="BL106">
        <v>1</v>
      </c>
      <c r="BM106">
        <v>0</v>
      </c>
      <c r="BN106">
        <v>14</v>
      </c>
      <c r="BO106">
        <v>50</v>
      </c>
      <c r="BP106">
        <v>26</v>
      </c>
      <c r="BQ106">
        <v>16</v>
      </c>
      <c r="BR106">
        <v>3</v>
      </c>
      <c r="BS106">
        <v>1</v>
      </c>
      <c r="BT106">
        <v>0</v>
      </c>
      <c r="BU106">
        <v>0</v>
      </c>
      <c r="BV106">
        <v>0</v>
      </c>
      <c r="BW106">
        <v>4</v>
      </c>
      <c r="BX106">
        <v>0</v>
      </c>
      <c r="BY106">
        <v>0</v>
      </c>
      <c r="BZ106">
        <v>50</v>
      </c>
      <c r="CA106">
        <v>12</v>
      </c>
      <c r="CB106">
        <v>10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2</v>
      </c>
      <c r="CL106">
        <v>12</v>
      </c>
      <c r="CM106">
        <v>7</v>
      </c>
      <c r="CN106">
        <v>6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1</v>
      </c>
      <c r="CX106">
        <v>7</v>
      </c>
      <c r="CY106">
        <v>13</v>
      </c>
      <c r="CZ106">
        <v>6</v>
      </c>
      <c r="DA106">
        <v>0</v>
      </c>
      <c r="DB106">
        <v>0</v>
      </c>
      <c r="DC106">
        <v>0</v>
      </c>
      <c r="DD106">
        <v>1</v>
      </c>
      <c r="DE106">
        <v>0</v>
      </c>
      <c r="DF106">
        <v>0</v>
      </c>
      <c r="DG106">
        <v>1</v>
      </c>
      <c r="DH106">
        <v>0</v>
      </c>
      <c r="DI106">
        <v>5</v>
      </c>
      <c r="DJ106">
        <v>13</v>
      </c>
      <c r="DK106">
        <v>46</v>
      </c>
      <c r="DL106">
        <v>23</v>
      </c>
      <c r="DM106">
        <v>4</v>
      </c>
      <c r="DN106">
        <v>3</v>
      </c>
      <c r="DO106">
        <v>0</v>
      </c>
      <c r="DP106">
        <v>15</v>
      </c>
      <c r="DQ106">
        <v>1</v>
      </c>
      <c r="DR106">
        <v>0</v>
      </c>
      <c r="DS106">
        <v>0</v>
      </c>
      <c r="DT106">
        <v>0</v>
      </c>
      <c r="DU106">
        <v>0</v>
      </c>
      <c r="DV106">
        <v>46</v>
      </c>
      <c r="DW106">
        <v>19</v>
      </c>
      <c r="DX106">
        <v>3</v>
      </c>
      <c r="DY106">
        <v>7</v>
      </c>
      <c r="DZ106">
        <v>1</v>
      </c>
      <c r="EA106">
        <v>8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19</v>
      </c>
      <c r="EI106">
        <v>1</v>
      </c>
      <c r="EJ106">
        <v>1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1</v>
      </c>
    </row>
    <row r="107" spans="1:150" ht="12.75">
      <c r="A107">
        <v>102</v>
      </c>
      <c r="B107" t="str">
        <f t="shared" si="17"/>
        <v>060601</v>
      </c>
      <c r="C107" t="str">
        <f t="shared" si="18"/>
        <v>m. Krasnystaw</v>
      </c>
      <c r="D107" t="str">
        <f t="shared" si="19"/>
        <v>krasnostawski</v>
      </c>
      <c r="E107" t="str">
        <f t="shared" si="12"/>
        <v>lubelskie</v>
      </c>
      <c r="F107">
        <v>11</v>
      </c>
      <c r="G107" t="str">
        <f>"Miejska Biblioteka Publiczna, ul. Okrzei 23, 22-300 Krasnystaw"</f>
        <v>Miejska Biblioteka Publiczna, ul. Okrzei 23, 22-300 Krasnystaw</v>
      </c>
      <c r="H107">
        <v>1310</v>
      </c>
      <c r="I107">
        <v>1310</v>
      </c>
      <c r="J107">
        <v>0</v>
      </c>
      <c r="K107">
        <v>929</v>
      </c>
      <c r="L107">
        <v>607</v>
      </c>
      <c r="M107">
        <v>322</v>
      </c>
      <c r="N107">
        <v>322</v>
      </c>
      <c r="O107">
        <v>0</v>
      </c>
      <c r="P107">
        <v>0</v>
      </c>
      <c r="Q107">
        <v>1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322</v>
      </c>
      <c r="Z107">
        <v>0</v>
      </c>
      <c r="AA107">
        <v>0</v>
      </c>
      <c r="AB107">
        <v>322</v>
      </c>
      <c r="AC107">
        <v>7</v>
      </c>
      <c r="AD107">
        <v>315</v>
      </c>
      <c r="AE107">
        <v>3</v>
      </c>
      <c r="AF107">
        <v>1</v>
      </c>
      <c r="AG107">
        <v>0</v>
      </c>
      <c r="AH107">
        <v>1</v>
      </c>
      <c r="AI107">
        <v>1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3</v>
      </c>
      <c r="AQ107">
        <v>5</v>
      </c>
      <c r="AR107">
        <v>4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1</v>
      </c>
      <c r="BB107">
        <v>5</v>
      </c>
      <c r="BC107">
        <v>21</v>
      </c>
      <c r="BD107">
        <v>14</v>
      </c>
      <c r="BE107">
        <v>0</v>
      </c>
      <c r="BF107">
        <v>1</v>
      </c>
      <c r="BG107">
        <v>0</v>
      </c>
      <c r="BH107">
        <v>3</v>
      </c>
      <c r="BI107">
        <v>0</v>
      </c>
      <c r="BJ107">
        <v>2</v>
      </c>
      <c r="BK107">
        <v>0</v>
      </c>
      <c r="BL107">
        <v>0</v>
      </c>
      <c r="BM107">
        <v>1</v>
      </c>
      <c r="BN107">
        <v>21</v>
      </c>
      <c r="BO107">
        <v>113</v>
      </c>
      <c r="BP107">
        <v>46</v>
      </c>
      <c r="BQ107">
        <v>36</v>
      </c>
      <c r="BR107">
        <v>8</v>
      </c>
      <c r="BS107">
        <v>12</v>
      </c>
      <c r="BT107">
        <v>1</v>
      </c>
      <c r="BU107">
        <v>2</v>
      </c>
      <c r="BV107">
        <v>5</v>
      </c>
      <c r="BW107">
        <v>0</v>
      </c>
      <c r="BX107">
        <v>1</v>
      </c>
      <c r="BY107">
        <v>2</v>
      </c>
      <c r="BZ107">
        <v>113</v>
      </c>
      <c r="CA107">
        <v>19</v>
      </c>
      <c r="CB107">
        <v>18</v>
      </c>
      <c r="CC107">
        <v>0</v>
      </c>
      <c r="CD107">
        <v>1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19</v>
      </c>
      <c r="CM107">
        <v>10</v>
      </c>
      <c r="CN107">
        <v>9</v>
      </c>
      <c r="CO107">
        <v>0</v>
      </c>
      <c r="CP107">
        <v>0</v>
      </c>
      <c r="CQ107">
        <v>1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10</v>
      </c>
      <c r="CY107">
        <v>13</v>
      </c>
      <c r="CZ107">
        <v>3</v>
      </c>
      <c r="DA107">
        <v>1</v>
      </c>
      <c r="DB107">
        <v>0</v>
      </c>
      <c r="DC107">
        <v>0</v>
      </c>
      <c r="DD107">
        <v>0</v>
      </c>
      <c r="DE107">
        <v>0</v>
      </c>
      <c r="DF107">
        <v>2</v>
      </c>
      <c r="DG107">
        <v>0</v>
      </c>
      <c r="DH107">
        <v>0</v>
      </c>
      <c r="DI107">
        <v>7</v>
      </c>
      <c r="DJ107">
        <v>13</v>
      </c>
      <c r="DK107">
        <v>83</v>
      </c>
      <c r="DL107">
        <v>32</v>
      </c>
      <c r="DM107">
        <v>12</v>
      </c>
      <c r="DN107">
        <v>8</v>
      </c>
      <c r="DO107">
        <v>3</v>
      </c>
      <c r="DP107">
        <v>26</v>
      </c>
      <c r="DQ107">
        <v>1</v>
      </c>
      <c r="DR107">
        <v>0</v>
      </c>
      <c r="DS107">
        <v>1</v>
      </c>
      <c r="DT107">
        <v>0</v>
      </c>
      <c r="DU107">
        <v>0</v>
      </c>
      <c r="DV107">
        <v>83</v>
      </c>
      <c r="DW107">
        <v>48</v>
      </c>
      <c r="DX107">
        <v>10</v>
      </c>
      <c r="DY107">
        <v>16</v>
      </c>
      <c r="DZ107">
        <v>5</v>
      </c>
      <c r="EA107">
        <v>17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48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</row>
    <row r="108" spans="1:150" ht="12.75">
      <c r="A108">
        <v>103</v>
      </c>
      <c r="B108" t="str">
        <f t="shared" si="17"/>
        <v>060601</v>
      </c>
      <c r="C108" t="str">
        <f t="shared" si="18"/>
        <v>m. Krasnystaw</v>
      </c>
      <c r="D108" t="str">
        <f t="shared" si="19"/>
        <v>krasnostawski</v>
      </c>
      <c r="E108" t="str">
        <f t="shared" si="12"/>
        <v>lubelskie</v>
      </c>
      <c r="F108">
        <v>12</v>
      </c>
      <c r="G108" t="str">
        <f>"Miejska Biblioteka Publiczna, ul. Okrzei 23, 22-300 Krasnystaw"</f>
        <v>Miejska Biblioteka Publiczna, ul. Okrzei 23, 22-300 Krasnystaw</v>
      </c>
      <c r="H108">
        <v>997</v>
      </c>
      <c r="I108">
        <v>997</v>
      </c>
      <c r="J108">
        <v>0</v>
      </c>
      <c r="K108">
        <v>710</v>
      </c>
      <c r="L108">
        <v>509</v>
      </c>
      <c r="M108">
        <v>201</v>
      </c>
      <c r="N108">
        <v>201</v>
      </c>
      <c r="O108">
        <v>0</v>
      </c>
      <c r="P108">
        <v>0</v>
      </c>
      <c r="Q108">
        <v>2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201</v>
      </c>
      <c r="Z108">
        <v>0</v>
      </c>
      <c r="AA108">
        <v>0</v>
      </c>
      <c r="AB108">
        <v>201</v>
      </c>
      <c r="AC108">
        <v>9</v>
      </c>
      <c r="AD108">
        <v>192</v>
      </c>
      <c r="AE108">
        <v>2</v>
      </c>
      <c r="AF108">
        <v>0</v>
      </c>
      <c r="AG108">
        <v>0</v>
      </c>
      <c r="AH108">
        <v>0</v>
      </c>
      <c r="AI108">
        <v>0</v>
      </c>
      <c r="AJ108">
        <v>1</v>
      </c>
      <c r="AK108">
        <v>0</v>
      </c>
      <c r="AL108">
        <v>0</v>
      </c>
      <c r="AM108">
        <v>0</v>
      </c>
      <c r="AN108">
        <v>0</v>
      </c>
      <c r="AO108">
        <v>1</v>
      </c>
      <c r="AP108">
        <v>2</v>
      </c>
      <c r="AQ108">
        <v>2</v>
      </c>
      <c r="AR108">
        <v>1</v>
      </c>
      <c r="AS108">
        <v>0</v>
      </c>
      <c r="AT108">
        <v>0</v>
      </c>
      <c r="AU108">
        <v>0</v>
      </c>
      <c r="AV108">
        <v>0</v>
      </c>
      <c r="AW108">
        <v>1</v>
      </c>
      <c r="AX108">
        <v>0</v>
      </c>
      <c r="AY108">
        <v>0</v>
      </c>
      <c r="AZ108">
        <v>0</v>
      </c>
      <c r="BA108">
        <v>0</v>
      </c>
      <c r="BB108">
        <v>2</v>
      </c>
      <c r="BC108">
        <v>16</v>
      </c>
      <c r="BD108">
        <v>12</v>
      </c>
      <c r="BE108">
        <v>2</v>
      </c>
      <c r="BF108">
        <v>0</v>
      </c>
      <c r="BG108">
        <v>0</v>
      </c>
      <c r="BH108">
        <v>0</v>
      </c>
      <c r="BI108">
        <v>0</v>
      </c>
      <c r="BJ108">
        <v>1</v>
      </c>
      <c r="BK108">
        <v>0</v>
      </c>
      <c r="BL108">
        <v>1</v>
      </c>
      <c r="BM108">
        <v>0</v>
      </c>
      <c r="BN108">
        <v>16</v>
      </c>
      <c r="BO108">
        <v>86</v>
      </c>
      <c r="BP108">
        <v>41</v>
      </c>
      <c r="BQ108">
        <v>18</v>
      </c>
      <c r="BR108">
        <v>14</v>
      </c>
      <c r="BS108">
        <v>4</v>
      </c>
      <c r="BT108">
        <v>1</v>
      </c>
      <c r="BU108">
        <v>0</v>
      </c>
      <c r="BV108">
        <v>0</v>
      </c>
      <c r="BW108">
        <v>4</v>
      </c>
      <c r="BX108">
        <v>0</v>
      </c>
      <c r="BY108">
        <v>4</v>
      </c>
      <c r="BZ108">
        <v>86</v>
      </c>
      <c r="CA108">
        <v>15</v>
      </c>
      <c r="CB108">
        <v>15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15</v>
      </c>
      <c r="CM108">
        <v>3</v>
      </c>
      <c r="CN108">
        <v>3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3</v>
      </c>
      <c r="CY108">
        <v>11</v>
      </c>
      <c r="CZ108">
        <v>3</v>
      </c>
      <c r="DA108">
        <v>1</v>
      </c>
      <c r="DB108">
        <v>0</v>
      </c>
      <c r="DC108">
        <v>0</v>
      </c>
      <c r="DD108">
        <v>2</v>
      </c>
      <c r="DE108">
        <v>0</v>
      </c>
      <c r="DF108">
        <v>0</v>
      </c>
      <c r="DG108">
        <v>1</v>
      </c>
      <c r="DH108">
        <v>0</v>
      </c>
      <c r="DI108">
        <v>4</v>
      </c>
      <c r="DJ108">
        <v>11</v>
      </c>
      <c r="DK108">
        <v>33</v>
      </c>
      <c r="DL108">
        <v>15</v>
      </c>
      <c r="DM108">
        <v>4</v>
      </c>
      <c r="DN108">
        <v>2</v>
      </c>
      <c r="DO108">
        <v>1</v>
      </c>
      <c r="DP108">
        <v>11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33</v>
      </c>
      <c r="DW108">
        <v>24</v>
      </c>
      <c r="DX108">
        <v>6</v>
      </c>
      <c r="DY108">
        <v>6</v>
      </c>
      <c r="DZ108">
        <v>1</v>
      </c>
      <c r="EA108">
        <v>10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1</v>
      </c>
      <c r="EH108">
        <v>24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0</v>
      </c>
      <c r="ET108">
        <v>0</v>
      </c>
    </row>
    <row r="109" spans="1:150" ht="12.75">
      <c r="A109">
        <v>104</v>
      </c>
      <c r="B109" t="str">
        <f t="shared" si="17"/>
        <v>060601</v>
      </c>
      <c r="C109" t="str">
        <f t="shared" si="18"/>
        <v>m. Krasnystaw</v>
      </c>
      <c r="D109" t="str">
        <f t="shared" si="19"/>
        <v>krasnostawski</v>
      </c>
      <c r="E109" t="str">
        <f t="shared" si="12"/>
        <v>lubelskie</v>
      </c>
      <c r="F109">
        <v>13</v>
      </c>
      <c r="G109" t="str">
        <f>"Przedszkole nr 8, ul. Tokarzewskiego 49, 22-300 Krasnystaw"</f>
        <v>Przedszkole nr 8, ul. Tokarzewskiego 49, 22-300 Krasnystaw</v>
      </c>
      <c r="H109">
        <v>1335</v>
      </c>
      <c r="I109">
        <v>1335</v>
      </c>
      <c r="J109">
        <v>0</v>
      </c>
      <c r="K109">
        <v>949</v>
      </c>
      <c r="L109">
        <v>685</v>
      </c>
      <c r="M109">
        <v>264</v>
      </c>
      <c r="N109">
        <v>264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264</v>
      </c>
      <c r="Z109">
        <v>0</v>
      </c>
      <c r="AA109">
        <v>0</v>
      </c>
      <c r="AB109">
        <v>264</v>
      </c>
      <c r="AC109">
        <v>1</v>
      </c>
      <c r="AD109">
        <v>263</v>
      </c>
      <c r="AE109">
        <v>12</v>
      </c>
      <c r="AF109">
        <v>4</v>
      </c>
      <c r="AG109">
        <v>1</v>
      </c>
      <c r="AH109">
        <v>0</v>
      </c>
      <c r="AI109">
        <v>0</v>
      </c>
      <c r="AJ109">
        <v>6</v>
      </c>
      <c r="AK109">
        <v>0</v>
      </c>
      <c r="AL109">
        <v>0</v>
      </c>
      <c r="AM109">
        <v>0</v>
      </c>
      <c r="AN109">
        <v>0</v>
      </c>
      <c r="AO109">
        <v>1</v>
      </c>
      <c r="AP109">
        <v>12</v>
      </c>
      <c r="AQ109">
        <v>10</v>
      </c>
      <c r="AR109">
        <v>8</v>
      </c>
      <c r="AS109">
        <v>0</v>
      </c>
      <c r="AT109">
        <v>0</v>
      </c>
      <c r="AU109">
        <v>0</v>
      </c>
      <c r="AV109">
        <v>0</v>
      </c>
      <c r="AW109">
        <v>1</v>
      </c>
      <c r="AX109">
        <v>0</v>
      </c>
      <c r="AY109">
        <v>0</v>
      </c>
      <c r="AZ109">
        <v>1</v>
      </c>
      <c r="BA109">
        <v>0</v>
      </c>
      <c r="BB109">
        <v>10</v>
      </c>
      <c r="BC109">
        <v>21</v>
      </c>
      <c r="BD109">
        <v>16</v>
      </c>
      <c r="BE109">
        <v>0</v>
      </c>
      <c r="BF109">
        <v>0</v>
      </c>
      <c r="BG109">
        <v>0</v>
      </c>
      <c r="BH109">
        <v>4</v>
      </c>
      <c r="BI109">
        <v>1</v>
      </c>
      <c r="BJ109">
        <v>0</v>
      </c>
      <c r="BK109">
        <v>0</v>
      </c>
      <c r="BL109">
        <v>0</v>
      </c>
      <c r="BM109">
        <v>0</v>
      </c>
      <c r="BN109">
        <v>21</v>
      </c>
      <c r="BO109">
        <v>68</v>
      </c>
      <c r="BP109">
        <v>28</v>
      </c>
      <c r="BQ109">
        <v>24</v>
      </c>
      <c r="BR109">
        <v>6</v>
      </c>
      <c r="BS109">
        <v>4</v>
      </c>
      <c r="BT109">
        <v>0</v>
      </c>
      <c r="BU109">
        <v>0</v>
      </c>
      <c r="BV109">
        <v>0</v>
      </c>
      <c r="BW109">
        <v>5</v>
      </c>
      <c r="BX109">
        <v>0</v>
      </c>
      <c r="BY109">
        <v>1</v>
      </c>
      <c r="BZ109">
        <v>68</v>
      </c>
      <c r="CA109">
        <v>13</v>
      </c>
      <c r="CB109">
        <v>12</v>
      </c>
      <c r="CC109">
        <v>0</v>
      </c>
      <c r="CD109">
        <v>0</v>
      </c>
      <c r="CE109">
        <v>0</v>
      </c>
      <c r="CF109">
        <v>1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13</v>
      </c>
      <c r="CM109">
        <v>15</v>
      </c>
      <c r="CN109">
        <v>11</v>
      </c>
      <c r="CO109">
        <v>0</v>
      </c>
      <c r="CP109">
        <v>1</v>
      </c>
      <c r="CQ109">
        <v>1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2</v>
      </c>
      <c r="CX109">
        <v>15</v>
      </c>
      <c r="CY109">
        <v>17</v>
      </c>
      <c r="CZ109">
        <v>5</v>
      </c>
      <c r="DA109">
        <v>0</v>
      </c>
      <c r="DB109">
        <v>1</v>
      </c>
      <c r="DC109">
        <v>4</v>
      </c>
      <c r="DD109">
        <v>2</v>
      </c>
      <c r="DE109">
        <v>1</v>
      </c>
      <c r="DF109">
        <v>0</v>
      </c>
      <c r="DG109">
        <v>0</v>
      </c>
      <c r="DH109">
        <v>0</v>
      </c>
      <c r="DI109">
        <v>4</v>
      </c>
      <c r="DJ109">
        <v>17</v>
      </c>
      <c r="DK109">
        <v>62</v>
      </c>
      <c r="DL109">
        <v>22</v>
      </c>
      <c r="DM109">
        <v>10</v>
      </c>
      <c r="DN109">
        <v>4</v>
      </c>
      <c r="DO109">
        <v>0</v>
      </c>
      <c r="DP109">
        <v>24</v>
      </c>
      <c r="DQ109">
        <v>0</v>
      </c>
      <c r="DR109">
        <v>0</v>
      </c>
      <c r="DS109">
        <v>2</v>
      </c>
      <c r="DT109">
        <v>0</v>
      </c>
      <c r="DU109">
        <v>0</v>
      </c>
      <c r="DV109">
        <v>62</v>
      </c>
      <c r="DW109">
        <v>44</v>
      </c>
      <c r="DX109">
        <v>7</v>
      </c>
      <c r="DY109">
        <v>14</v>
      </c>
      <c r="DZ109">
        <v>0</v>
      </c>
      <c r="EA109">
        <v>22</v>
      </c>
      <c r="EB109">
        <v>0</v>
      </c>
      <c r="EC109">
        <v>0</v>
      </c>
      <c r="ED109">
        <v>0</v>
      </c>
      <c r="EE109">
        <v>0</v>
      </c>
      <c r="EF109">
        <v>1</v>
      </c>
      <c r="EG109">
        <v>0</v>
      </c>
      <c r="EH109">
        <v>44</v>
      </c>
      <c r="EI109">
        <v>1</v>
      </c>
      <c r="EJ109">
        <v>1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1</v>
      </c>
    </row>
    <row r="110" spans="1:150" ht="12.75">
      <c r="A110">
        <v>105</v>
      </c>
      <c r="B110" t="str">
        <f t="shared" si="17"/>
        <v>060601</v>
      </c>
      <c r="C110" t="str">
        <f t="shared" si="18"/>
        <v>m. Krasnystaw</v>
      </c>
      <c r="D110" t="str">
        <f t="shared" si="19"/>
        <v>krasnostawski</v>
      </c>
      <c r="E110" t="str">
        <f t="shared" si="12"/>
        <v>lubelskie</v>
      </c>
      <c r="F110">
        <v>14</v>
      </c>
      <c r="G110" t="str">
        <f>"Zespół Szkół Społecznych, ul. Odrodzenia 45, 22-300 Krasnystaw"</f>
        <v>Zespół Szkół Społecznych, ul. Odrodzenia 45, 22-300 Krasnystaw</v>
      </c>
      <c r="H110">
        <v>1335</v>
      </c>
      <c r="I110">
        <v>1335</v>
      </c>
      <c r="J110">
        <v>0</v>
      </c>
      <c r="K110">
        <v>940</v>
      </c>
      <c r="L110">
        <v>612</v>
      </c>
      <c r="M110">
        <v>328</v>
      </c>
      <c r="N110">
        <v>328</v>
      </c>
      <c r="O110">
        <v>0</v>
      </c>
      <c r="P110">
        <v>0</v>
      </c>
      <c r="Q110">
        <v>1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328</v>
      </c>
      <c r="Z110">
        <v>0</v>
      </c>
      <c r="AA110">
        <v>0</v>
      </c>
      <c r="AB110">
        <v>328</v>
      </c>
      <c r="AC110">
        <v>5</v>
      </c>
      <c r="AD110">
        <v>323</v>
      </c>
      <c r="AE110">
        <v>16</v>
      </c>
      <c r="AF110">
        <v>2</v>
      </c>
      <c r="AG110">
        <v>3</v>
      </c>
      <c r="AH110">
        <v>0</v>
      </c>
      <c r="AI110">
        <v>1</v>
      </c>
      <c r="AJ110">
        <v>9</v>
      </c>
      <c r="AK110">
        <v>0</v>
      </c>
      <c r="AL110">
        <v>0</v>
      </c>
      <c r="AM110">
        <v>0</v>
      </c>
      <c r="AN110">
        <v>1</v>
      </c>
      <c r="AO110">
        <v>0</v>
      </c>
      <c r="AP110">
        <v>16</v>
      </c>
      <c r="AQ110">
        <v>5</v>
      </c>
      <c r="AR110">
        <v>4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1</v>
      </c>
      <c r="BB110">
        <v>5</v>
      </c>
      <c r="BC110">
        <v>17</v>
      </c>
      <c r="BD110">
        <v>9</v>
      </c>
      <c r="BE110">
        <v>2</v>
      </c>
      <c r="BF110">
        <v>2</v>
      </c>
      <c r="BG110">
        <v>0</v>
      </c>
      <c r="BH110">
        <v>1</v>
      </c>
      <c r="BI110">
        <v>0</v>
      </c>
      <c r="BJ110">
        <v>0</v>
      </c>
      <c r="BK110">
        <v>0</v>
      </c>
      <c r="BL110">
        <v>0</v>
      </c>
      <c r="BM110">
        <v>3</v>
      </c>
      <c r="BN110">
        <v>17</v>
      </c>
      <c r="BO110">
        <v>116</v>
      </c>
      <c r="BP110">
        <v>46</v>
      </c>
      <c r="BQ110">
        <v>47</v>
      </c>
      <c r="BR110">
        <v>11</v>
      </c>
      <c r="BS110">
        <v>8</v>
      </c>
      <c r="BT110">
        <v>0</v>
      </c>
      <c r="BU110">
        <v>0</v>
      </c>
      <c r="BV110">
        <v>1</v>
      </c>
      <c r="BW110">
        <v>2</v>
      </c>
      <c r="BX110">
        <v>0</v>
      </c>
      <c r="BY110">
        <v>1</v>
      </c>
      <c r="BZ110">
        <v>116</v>
      </c>
      <c r="CA110">
        <v>17</v>
      </c>
      <c r="CB110">
        <v>11</v>
      </c>
      <c r="CC110">
        <v>3</v>
      </c>
      <c r="CD110">
        <v>2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1</v>
      </c>
      <c r="CL110">
        <v>17</v>
      </c>
      <c r="CM110">
        <v>11</v>
      </c>
      <c r="CN110">
        <v>6</v>
      </c>
      <c r="CO110">
        <v>1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4</v>
      </c>
      <c r="CX110">
        <v>11</v>
      </c>
      <c r="CY110">
        <v>24</v>
      </c>
      <c r="CZ110">
        <v>11</v>
      </c>
      <c r="DA110">
        <v>4</v>
      </c>
      <c r="DB110">
        <v>1</v>
      </c>
      <c r="DC110">
        <v>0</v>
      </c>
      <c r="DD110">
        <v>1</v>
      </c>
      <c r="DE110">
        <v>0</v>
      </c>
      <c r="DF110">
        <v>1</v>
      </c>
      <c r="DG110">
        <v>1</v>
      </c>
      <c r="DH110">
        <v>0</v>
      </c>
      <c r="DI110">
        <v>5</v>
      </c>
      <c r="DJ110">
        <v>24</v>
      </c>
      <c r="DK110">
        <v>67</v>
      </c>
      <c r="DL110">
        <v>27</v>
      </c>
      <c r="DM110">
        <v>5</v>
      </c>
      <c r="DN110">
        <v>0</v>
      </c>
      <c r="DO110">
        <v>1</v>
      </c>
      <c r="DP110">
        <v>31</v>
      </c>
      <c r="DQ110">
        <v>1</v>
      </c>
      <c r="DR110">
        <v>0</v>
      </c>
      <c r="DS110">
        <v>0</v>
      </c>
      <c r="DT110">
        <v>0</v>
      </c>
      <c r="DU110">
        <v>2</v>
      </c>
      <c r="DV110">
        <v>67</v>
      </c>
      <c r="DW110">
        <v>49</v>
      </c>
      <c r="DX110">
        <v>6</v>
      </c>
      <c r="DY110">
        <v>12</v>
      </c>
      <c r="DZ110">
        <v>1</v>
      </c>
      <c r="EA110">
        <v>26</v>
      </c>
      <c r="EB110">
        <v>2</v>
      </c>
      <c r="EC110">
        <v>0</v>
      </c>
      <c r="ED110">
        <v>0</v>
      </c>
      <c r="EE110">
        <v>1</v>
      </c>
      <c r="EF110">
        <v>0</v>
      </c>
      <c r="EG110">
        <v>1</v>
      </c>
      <c r="EH110">
        <v>49</v>
      </c>
      <c r="EI110">
        <v>1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1</v>
      </c>
      <c r="ES110">
        <v>0</v>
      </c>
      <c r="ET110">
        <v>1</v>
      </c>
    </row>
    <row r="111" spans="1:150" ht="12.75">
      <c r="A111">
        <v>106</v>
      </c>
      <c r="B111" t="str">
        <f t="shared" si="17"/>
        <v>060601</v>
      </c>
      <c r="C111" t="str">
        <f t="shared" si="18"/>
        <v>m. Krasnystaw</v>
      </c>
      <c r="D111" t="str">
        <f t="shared" si="19"/>
        <v>krasnostawski</v>
      </c>
      <c r="E111" t="str">
        <f t="shared" si="12"/>
        <v>lubelskie</v>
      </c>
      <c r="F111">
        <v>15</v>
      </c>
      <c r="G111" t="str">
        <f>"Zespół Szkół nr 4, ul. Marszałka Piłsudskiego 21, 22-300 Krasnystaw"</f>
        <v>Zespół Szkół nr 4, ul. Marszałka Piłsudskiego 21, 22-300 Krasnystaw</v>
      </c>
      <c r="H111">
        <v>910</v>
      </c>
      <c r="I111">
        <v>910</v>
      </c>
      <c r="J111">
        <v>0</v>
      </c>
      <c r="K111">
        <v>640</v>
      </c>
      <c r="L111">
        <v>482</v>
      </c>
      <c r="M111">
        <v>158</v>
      </c>
      <c r="N111">
        <v>158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158</v>
      </c>
      <c r="Z111">
        <v>0</v>
      </c>
      <c r="AA111">
        <v>0</v>
      </c>
      <c r="AB111">
        <v>158</v>
      </c>
      <c r="AC111">
        <v>2</v>
      </c>
      <c r="AD111">
        <v>156</v>
      </c>
      <c r="AE111">
        <v>6</v>
      </c>
      <c r="AF111">
        <v>2</v>
      </c>
      <c r="AG111">
        <v>0</v>
      </c>
      <c r="AH111">
        <v>0</v>
      </c>
      <c r="AI111">
        <v>1</v>
      </c>
      <c r="AJ111">
        <v>3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6</v>
      </c>
      <c r="AQ111">
        <v>5</v>
      </c>
      <c r="AR111">
        <v>4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1</v>
      </c>
      <c r="BB111">
        <v>5</v>
      </c>
      <c r="BC111">
        <v>7</v>
      </c>
      <c r="BD111">
        <v>4</v>
      </c>
      <c r="BE111">
        <v>0</v>
      </c>
      <c r="BF111">
        <v>0</v>
      </c>
      <c r="BG111">
        <v>0</v>
      </c>
      <c r="BH111">
        <v>0</v>
      </c>
      <c r="BI111">
        <v>1</v>
      </c>
      <c r="BJ111">
        <v>0</v>
      </c>
      <c r="BK111">
        <v>1</v>
      </c>
      <c r="BL111">
        <v>1</v>
      </c>
      <c r="BM111">
        <v>0</v>
      </c>
      <c r="BN111">
        <v>7</v>
      </c>
      <c r="BO111">
        <v>30</v>
      </c>
      <c r="BP111">
        <v>7</v>
      </c>
      <c r="BQ111">
        <v>8</v>
      </c>
      <c r="BR111">
        <v>3</v>
      </c>
      <c r="BS111">
        <v>3</v>
      </c>
      <c r="BT111">
        <v>1</v>
      </c>
      <c r="BU111">
        <v>3</v>
      </c>
      <c r="BV111">
        <v>1</v>
      </c>
      <c r="BW111">
        <v>0</v>
      </c>
      <c r="BX111">
        <v>1</v>
      </c>
      <c r="BY111">
        <v>3</v>
      </c>
      <c r="BZ111">
        <v>30</v>
      </c>
      <c r="CA111">
        <v>2</v>
      </c>
      <c r="CB111">
        <v>2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2</v>
      </c>
      <c r="CM111">
        <v>4</v>
      </c>
      <c r="CN111">
        <v>3</v>
      </c>
      <c r="CO111">
        <v>0</v>
      </c>
      <c r="CP111">
        <v>0</v>
      </c>
      <c r="CQ111">
        <v>1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4</v>
      </c>
      <c r="CY111">
        <v>25</v>
      </c>
      <c r="CZ111">
        <v>11</v>
      </c>
      <c r="DA111">
        <v>0</v>
      </c>
      <c r="DB111">
        <v>1</v>
      </c>
      <c r="DC111">
        <v>2</v>
      </c>
      <c r="DD111">
        <v>0</v>
      </c>
      <c r="DE111">
        <v>0</v>
      </c>
      <c r="DF111">
        <v>1</v>
      </c>
      <c r="DG111">
        <v>0</v>
      </c>
      <c r="DH111">
        <v>1</v>
      </c>
      <c r="DI111">
        <v>9</v>
      </c>
      <c r="DJ111">
        <v>25</v>
      </c>
      <c r="DK111">
        <v>51</v>
      </c>
      <c r="DL111">
        <v>18</v>
      </c>
      <c r="DM111">
        <v>5</v>
      </c>
      <c r="DN111">
        <v>2</v>
      </c>
      <c r="DO111">
        <v>0</v>
      </c>
      <c r="DP111">
        <v>24</v>
      </c>
      <c r="DQ111">
        <v>0</v>
      </c>
      <c r="DR111">
        <v>1</v>
      </c>
      <c r="DS111">
        <v>0</v>
      </c>
      <c r="DT111">
        <v>1</v>
      </c>
      <c r="DU111">
        <v>0</v>
      </c>
      <c r="DV111">
        <v>51</v>
      </c>
      <c r="DW111">
        <v>25</v>
      </c>
      <c r="DX111">
        <v>4</v>
      </c>
      <c r="DY111">
        <v>6</v>
      </c>
      <c r="DZ111">
        <v>0</v>
      </c>
      <c r="EA111">
        <v>13</v>
      </c>
      <c r="EB111">
        <v>0</v>
      </c>
      <c r="EC111">
        <v>1</v>
      </c>
      <c r="ED111">
        <v>0</v>
      </c>
      <c r="EE111">
        <v>1</v>
      </c>
      <c r="EF111">
        <v>0</v>
      </c>
      <c r="EG111">
        <v>0</v>
      </c>
      <c r="EH111">
        <v>25</v>
      </c>
      <c r="EI111">
        <v>1</v>
      </c>
      <c r="EJ111">
        <v>0</v>
      </c>
      <c r="EK111">
        <v>1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1</v>
      </c>
    </row>
    <row r="112" spans="1:150" ht="12.75">
      <c r="A112">
        <v>107</v>
      </c>
      <c r="B112" t="str">
        <f t="shared" si="17"/>
        <v>060601</v>
      </c>
      <c r="C112" t="str">
        <f t="shared" si="18"/>
        <v>m. Krasnystaw</v>
      </c>
      <c r="D112" t="str">
        <f t="shared" si="19"/>
        <v>krasnostawski</v>
      </c>
      <c r="E112" t="str">
        <f t="shared" si="12"/>
        <v>lubelskie</v>
      </c>
      <c r="F112">
        <v>16</v>
      </c>
      <c r="G112" t="str">
        <f>"Szpital SP ZOZ, ul. Głowackiego 3, 22-300 Krasnystaw"</f>
        <v>Szpital SP ZOZ, ul. Głowackiego 3, 22-300 Krasnystaw</v>
      </c>
      <c r="H112">
        <v>184</v>
      </c>
      <c r="I112">
        <v>184</v>
      </c>
      <c r="J112">
        <v>0</v>
      </c>
      <c r="K112">
        <v>300</v>
      </c>
      <c r="L112">
        <v>276</v>
      </c>
      <c r="M112">
        <v>24</v>
      </c>
      <c r="N112">
        <v>24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24</v>
      </c>
      <c r="Z112">
        <v>0</v>
      </c>
      <c r="AA112">
        <v>0</v>
      </c>
      <c r="AB112">
        <v>24</v>
      </c>
      <c r="AC112">
        <v>0</v>
      </c>
      <c r="AD112">
        <v>24</v>
      </c>
      <c r="AE112">
        <v>2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2</v>
      </c>
      <c r="AP112">
        <v>2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1</v>
      </c>
      <c r="BD112">
        <v>0</v>
      </c>
      <c r="BE112">
        <v>0</v>
      </c>
      <c r="BF112">
        <v>0</v>
      </c>
      <c r="BG112">
        <v>0</v>
      </c>
      <c r="BH112">
        <v>1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1</v>
      </c>
      <c r="BO112">
        <v>11</v>
      </c>
      <c r="BP112">
        <v>1</v>
      </c>
      <c r="BQ112">
        <v>7</v>
      </c>
      <c r="BR112">
        <v>1</v>
      </c>
      <c r="BS112">
        <v>2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11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4</v>
      </c>
      <c r="DL112">
        <v>2</v>
      </c>
      <c r="DM112">
        <v>0</v>
      </c>
      <c r="DN112">
        <v>0</v>
      </c>
      <c r="DO112">
        <v>0</v>
      </c>
      <c r="DP112">
        <v>2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4</v>
      </c>
      <c r="DW112">
        <v>6</v>
      </c>
      <c r="DX112">
        <v>2</v>
      </c>
      <c r="DY112">
        <v>1</v>
      </c>
      <c r="DZ112">
        <v>1</v>
      </c>
      <c r="EA112">
        <v>0</v>
      </c>
      <c r="EB112">
        <v>1</v>
      </c>
      <c r="EC112">
        <v>0</v>
      </c>
      <c r="ED112">
        <v>0</v>
      </c>
      <c r="EE112">
        <v>0</v>
      </c>
      <c r="EF112">
        <v>1</v>
      </c>
      <c r="EG112">
        <v>0</v>
      </c>
      <c r="EH112">
        <v>6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0</v>
      </c>
      <c r="ET112">
        <v>0</v>
      </c>
    </row>
    <row r="113" spans="1:150" ht="12.75">
      <c r="A113">
        <v>108</v>
      </c>
      <c r="B113" t="str">
        <f t="shared" si="17"/>
        <v>060601</v>
      </c>
      <c r="C113" t="str">
        <f t="shared" si="18"/>
        <v>m. Krasnystaw</v>
      </c>
      <c r="D113" t="str">
        <f t="shared" si="19"/>
        <v>krasnostawski</v>
      </c>
      <c r="E113" t="str">
        <f t="shared" si="12"/>
        <v>lubelskie</v>
      </c>
      <c r="F113">
        <v>17</v>
      </c>
      <c r="G113" t="str">
        <f>"Areszt Śledczy, ul. Poniatowskiego 27, 22-300 Krasnystaw"</f>
        <v>Areszt Śledczy, ul. Poniatowskiego 27, 22-300 Krasnystaw</v>
      </c>
      <c r="H113">
        <v>223</v>
      </c>
      <c r="I113">
        <v>223</v>
      </c>
      <c r="J113">
        <v>0</v>
      </c>
      <c r="K113">
        <v>301</v>
      </c>
      <c r="L113">
        <v>222</v>
      </c>
      <c r="M113">
        <v>79</v>
      </c>
      <c r="N113">
        <v>79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79</v>
      </c>
      <c r="Z113">
        <v>0</v>
      </c>
      <c r="AA113">
        <v>0</v>
      </c>
      <c r="AB113">
        <v>79</v>
      </c>
      <c r="AC113">
        <v>15</v>
      </c>
      <c r="AD113">
        <v>64</v>
      </c>
      <c r="AE113">
        <v>1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1</v>
      </c>
      <c r="AP113">
        <v>1</v>
      </c>
      <c r="AQ113">
        <v>2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1</v>
      </c>
      <c r="AZ113">
        <v>0</v>
      </c>
      <c r="BA113">
        <v>1</v>
      </c>
      <c r="BB113">
        <v>2</v>
      </c>
      <c r="BC113">
        <v>4</v>
      </c>
      <c r="BD113">
        <v>0</v>
      </c>
      <c r="BE113">
        <v>1</v>
      </c>
      <c r="BF113">
        <v>0</v>
      </c>
      <c r="BG113">
        <v>0</v>
      </c>
      <c r="BH113">
        <v>1</v>
      </c>
      <c r="BI113">
        <v>0</v>
      </c>
      <c r="BJ113">
        <v>1</v>
      </c>
      <c r="BK113">
        <v>1</v>
      </c>
      <c r="BL113">
        <v>0</v>
      </c>
      <c r="BM113">
        <v>0</v>
      </c>
      <c r="BN113">
        <v>4</v>
      </c>
      <c r="BO113">
        <v>3</v>
      </c>
      <c r="BP113">
        <v>0</v>
      </c>
      <c r="BQ113">
        <v>0</v>
      </c>
      <c r="BR113">
        <v>2</v>
      </c>
      <c r="BS113">
        <v>0</v>
      </c>
      <c r="BT113">
        <v>0</v>
      </c>
      <c r="BU113">
        <v>0</v>
      </c>
      <c r="BV113">
        <v>0</v>
      </c>
      <c r="BW113">
        <v>1</v>
      </c>
      <c r="BX113">
        <v>0</v>
      </c>
      <c r="BY113">
        <v>0</v>
      </c>
      <c r="BZ113">
        <v>3</v>
      </c>
      <c r="CA113">
        <v>24</v>
      </c>
      <c r="CB113">
        <v>16</v>
      </c>
      <c r="CC113">
        <v>1</v>
      </c>
      <c r="CD113">
        <v>0</v>
      </c>
      <c r="CE113">
        <v>1</v>
      </c>
      <c r="CF113">
        <v>3</v>
      </c>
      <c r="CG113">
        <v>1</v>
      </c>
      <c r="CH113">
        <v>1</v>
      </c>
      <c r="CI113">
        <v>0</v>
      </c>
      <c r="CJ113">
        <v>0</v>
      </c>
      <c r="CK113">
        <v>1</v>
      </c>
      <c r="CL113">
        <v>24</v>
      </c>
      <c r="CM113">
        <v>2</v>
      </c>
      <c r="CN113">
        <v>0</v>
      </c>
      <c r="CO113">
        <v>0</v>
      </c>
      <c r="CP113">
        <v>0</v>
      </c>
      <c r="CQ113">
        <v>1</v>
      </c>
      <c r="CR113">
        <v>0</v>
      </c>
      <c r="CS113">
        <v>0</v>
      </c>
      <c r="CT113">
        <v>0</v>
      </c>
      <c r="CU113">
        <v>0</v>
      </c>
      <c r="CV113">
        <v>1</v>
      </c>
      <c r="CW113">
        <v>0</v>
      </c>
      <c r="CX113">
        <v>2</v>
      </c>
      <c r="CY113">
        <v>5</v>
      </c>
      <c r="CZ113">
        <v>1</v>
      </c>
      <c r="DA113">
        <v>1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3</v>
      </c>
      <c r="DJ113">
        <v>5</v>
      </c>
      <c r="DK113">
        <v>20</v>
      </c>
      <c r="DL113">
        <v>2</v>
      </c>
      <c r="DM113">
        <v>10</v>
      </c>
      <c r="DN113">
        <v>1</v>
      </c>
      <c r="DO113">
        <v>2</v>
      </c>
      <c r="DP113">
        <v>0</v>
      </c>
      <c r="DQ113">
        <v>2</v>
      </c>
      <c r="DR113">
        <v>0</v>
      </c>
      <c r="DS113">
        <v>2</v>
      </c>
      <c r="DT113">
        <v>0</v>
      </c>
      <c r="DU113">
        <v>1</v>
      </c>
      <c r="DV113">
        <v>20</v>
      </c>
      <c r="DW113">
        <v>1</v>
      </c>
      <c r="DX113">
        <v>0</v>
      </c>
      <c r="DY113">
        <v>0</v>
      </c>
      <c r="DZ113">
        <v>0</v>
      </c>
      <c r="EA113">
        <v>0</v>
      </c>
      <c r="EB113">
        <v>1</v>
      </c>
      <c r="EC113">
        <v>0</v>
      </c>
      <c r="ED113">
        <v>0</v>
      </c>
      <c r="EE113">
        <v>0</v>
      </c>
      <c r="EF113">
        <v>0</v>
      </c>
      <c r="EG113">
        <v>0</v>
      </c>
      <c r="EH113">
        <v>1</v>
      </c>
      <c r="EI113">
        <v>2</v>
      </c>
      <c r="EJ113">
        <v>0</v>
      </c>
      <c r="EK113">
        <v>2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0</v>
      </c>
      <c r="ET113">
        <v>2</v>
      </c>
    </row>
    <row r="114" spans="1:150" ht="12.75">
      <c r="A114">
        <v>109</v>
      </c>
      <c r="B114" t="str">
        <f aca="true" t="shared" si="20" ref="B114:B119">"060602"</f>
        <v>060602</v>
      </c>
      <c r="C114" t="str">
        <f aca="true" t="shared" si="21" ref="C114:C119">"Fajsławice"</f>
        <v>Fajsławice</v>
      </c>
      <c r="D114" t="str">
        <f t="shared" si="19"/>
        <v>krasnostawski</v>
      </c>
      <c r="E114" t="str">
        <f t="shared" si="12"/>
        <v>lubelskie</v>
      </c>
      <c r="F114">
        <v>1</v>
      </c>
      <c r="G114" t="str">
        <f>"Świetlica Wiejska, Fajsławice 107, 21-060 Fajsławice"</f>
        <v>Świetlica Wiejska, Fajsławice 107, 21-060 Fajsławice</v>
      </c>
      <c r="H114">
        <v>1172</v>
      </c>
      <c r="I114">
        <v>1172</v>
      </c>
      <c r="J114">
        <v>0</v>
      </c>
      <c r="K114">
        <v>830</v>
      </c>
      <c r="L114">
        <v>623</v>
      </c>
      <c r="M114">
        <v>207</v>
      </c>
      <c r="N114">
        <v>207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207</v>
      </c>
      <c r="Z114">
        <v>0</v>
      </c>
      <c r="AA114">
        <v>0</v>
      </c>
      <c r="AB114">
        <v>207</v>
      </c>
      <c r="AC114">
        <v>7</v>
      </c>
      <c r="AD114">
        <v>200</v>
      </c>
      <c r="AE114">
        <v>3</v>
      </c>
      <c r="AF114">
        <v>1</v>
      </c>
      <c r="AG114">
        <v>0</v>
      </c>
      <c r="AH114">
        <v>1</v>
      </c>
      <c r="AI114">
        <v>0</v>
      </c>
      <c r="AJ114">
        <v>0</v>
      </c>
      <c r="AK114">
        <v>0</v>
      </c>
      <c r="AL114">
        <v>0</v>
      </c>
      <c r="AM114">
        <v>1</v>
      </c>
      <c r="AN114">
        <v>0</v>
      </c>
      <c r="AO114">
        <v>0</v>
      </c>
      <c r="AP114">
        <v>3</v>
      </c>
      <c r="AQ114">
        <v>10</v>
      </c>
      <c r="AR114">
        <v>4</v>
      </c>
      <c r="AS114">
        <v>3</v>
      </c>
      <c r="AT114">
        <v>1</v>
      </c>
      <c r="AU114">
        <v>0</v>
      </c>
      <c r="AV114">
        <v>0</v>
      </c>
      <c r="AW114">
        <v>1</v>
      </c>
      <c r="AX114">
        <v>0</v>
      </c>
      <c r="AY114">
        <v>0</v>
      </c>
      <c r="AZ114">
        <v>0</v>
      </c>
      <c r="BA114">
        <v>1</v>
      </c>
      <c r="BB114">
        <v>10</v>
      </c>
      <c r="BC114">
        <v>10</v>
      </c>
      <c r="BD114">
        <v>3</v>
      </c>
      <c r="BE114">
        <v>1</v>
      </c>
      <c r="BF114">
        <v>1</v>
      </c>
      <c r="BG114">
        <v>1</v>
      </c>
      <c r="BH114">
        <v>3</v>
      </c>
      <c r="BI114">
        <v>0</v>
      </c>
      <c r="BJ114">
        <v>0</v>
      </c>
      <c r="BK114">
        <v>0</v>
      </c>
      <c r="BL114">
        <v>1</v>
      </c>
      <c r="BM114">
        <v>0</v>
      </c>
      <c r="BN114">
        <v>10</v>
      </c>
      <c r="BO114">
        <v>72</v>
      </c>
      <c r="BP114">
        <v>20</v>
      </c>
      <c r="BQ114">
        <v>32</v>
      </c>
      <c r="BR114">
        <v>9</v>
      </c>
      <c r="BS114">
        <v>2</v>
      </c>
      <c r="BT114">
        <v>0</v>
      </c>
      <c r="BU114">
        <v>2</v>
      </c>
      <c r="BV114">
        <v>0</v>
      </c>
      <c r="BW114">
        <v>7</v>
      </c>
      <c r="BX114">
        <v>0</v>
      </c>
      <c r="BY114">
        <v>0</v>
      </c>
      <c r="BZ114">
        <v>72</v>
      </c>
      <c r="CA114">
        <v>8</v>
      </c>
      <c r="CB114">
        <v>3</v>
      </c>
      <c r="CC114">
        <v>1</v>
      </c>
      <c r="CD114">
        <v>0</v>
      </c>
      <c r="CE114">
        <v>0</v>
      </c>
      <c r="CF114">
        <v>1</v>
      </c>
      <c r="CG114">
        <v>0</v>
      </c>
      <c r="CH114">
        <v>1</v>
      </c>
      <c r="CI114">
        <v>0</v>
      </c>
      <c r="CJ114">
        <v>0</v>
      </c>
      <c r="CK114">
        <v>2</v>
      </c>
      <c r="CL114">
        <v>8</v>
      </c>
      <c r="CM114">
        <v>5</v>
      </c>
      <c r="CN114">
        <v>4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1</v>
      </c>
      <c r="CU114">
        <v>0</v>
      </c>
      <c r="CV114">
        <v>0</v>
      </c>
      <c r="CW114">
        <v>0</v>
      </c>
      <c r="CX114">
        <v>5</v>
      </c>
      <c r="CY114">
        <v>33</v>
      </c>
      <c r="CZ114">
        <v>8</v>
      </c>
      <c r="DA114">
        <v>7</v>
      </c>
      <c r="DB114">
        <v>2</v>
      </c>
      <c r="DC114">
        <v>1</v>
      </c>
      <c r="DD114">
        <v>2</v>
      </c>
      <c r="DE114">
        <v>2</v>
      </c>
      <c r="DF114">
        <v>0</v>
      </c>
      <c r="DG114">
        <v>0</v>
      </c>
      <c r="DH114">
        <v>1</v>
      </c>
      <c r="DI114">
        <v>10</v>
      </c>
      <c r="DJ114">
        <v>33</v>
      </c>
      <c r="DK114">
        <v>21</v>
      </c>
      <c r="DL114">
        <v>13</v>
      </c>
      <c r="DM114">
        <v>4</v>
      </c>
      <c r="DN114">
        <v>0</v>
      </c>
      <c r="DO114">
        <v>0</v>
      </c>
      <c r="DP114">
        <v>2</v>
      </c>
      <c r="DQ114">
        <v>1</v>
      </c>
      <c r="DR114">
        <v>0</v>
      </c>
      <c r="DS114">
        <v>0</v>
      </c>
      <c r="DT114">
        <v>0</v>
      </c>
      <c r="DU114">
        <v>1</v>
      </c>
      <c r="DV114">
        <v>21</v>
      </c>
      <c r="DW114">
        <v>26</v>
      </c>
      <c r="DX114">
        <v>0</v>
      </c>
      <c r="DY114">
        <v>20</v>
      </c>
      <c r="DZ114">
        <v>1</v>
      </c>
      <c r="EA114">
        <v>4</v>
      </c>
      <c r="EB114">
        <v>0</v>
      </c>
      <c r="EC114">
        <v>1</v>
      </c>
      <c r="ED114">
        <v>0</v>
      </c>
      <c r="EE114">
        <v>0</v>
      </c>
      <c r="EF114">
        <v>0</v>
      </c>
      <c r="EG114">
        <v>0</v>
      </c>
      <c r="EH114">
        <v>26</v>
      </c>
      <c r="EI114">
        <v>12</v>
      </c>
      <c r="EJ114">
        <v>1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11</v>
      </c>
      <c r="ER114">
        <v>0</v>
      </c>
      <c r="ES114">
        <v>0</v>
      </c>
      <c r="ET114">
        <v>12</v>
      </c>
    </row>
    <row r="115" spans="1:150" ht="12.75">
      <c r="A115">
        <v>110</v>
      </c>
      <c r="B115" t="str">
        <f t="shared" si="20"/>
        <v>060602</v>
      </c>
      <c r="C115" t="str">
        <f t="shared" si="21"/>
        <v>Fajsławice</v>
      </c>
      <c r="D115" t="str">
        <f t="shared" si="19"/>
        <v>krasnostawski</v>
      </c>
      <c r="E115" t="str">
        <f t="shared" si="12"/>
        <v>lubelskie</v>
      </c>
      <c r="F115">
        <v>2</v>
      </c>
      <c r="G115" t="str">
        <f>"Remiza OSP, Suchodoły 105, 21-060 Fajsławice"</f>
        <v>Remiza OSP, Suchodoły 105, 21-060 Fajsławice</v>
      </c>
      <c r="H115">
        <v>774</v>
      </c>
      <c r="I115">
        <v>774</v>
      </c>
      <c r="J115">
        <v>0</v>
      </c>
      <c r="K115">
        <v>540</v>
      </c>
      <c r="L115">
        <v>404</v>
      </c>
      <c r="M115">
        <v>136</v>
      </c>
      <c r="N115">
        <v>136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136</v>
      </c>
      <c r="Z115">
        <v>0</v>
      </c>
      <c r="AA115">
        <v>0</v>
      </c>
      <c r="AB115">
        <v>136</v>
      </c>
      <c r="AC115">
        <v>2</v>
      </c>
      <c r="AD115">
        <v>134</v>
      </c>
      <c r="AE115">
        <v>2</v>
      </c>
      <c r="AF115">
        <v>1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1</v>
      </c>
      <c r="AO115">
        <v>0</v>
      </c>
      <c r="AP115">
        <v>2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73</v>
      </c>
      <c r="BP115">
        <v>18</v>
      </c>
      <c r="BQ115">
        <v>41</v>
      </c>
      <c r="BR115">
        <v>5</v>
      </c>
      <c r="BS115">
        <v>2</v>
      </c>
      <c r="BT115">
        <v>0</v>
      </c>
      <c r="BU115">
        <v>1</v>
      </c>
      <c r="BV115">
        <v>0</v>
      </c>
      <c r="BW115">
        <v>2</v>
      </c>
      <c r="BX115">
        <v>1</v>
      </c>
      <c r="BY115">
        <v>3</v>
      </c>
      <c r="BZ115">
        <v>73</v>
      </c>
      <c r="CA115">
        <v>2</v>
      </c>
      <c r="CB115">
        <v>2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2</v>
      </c>
      <c r="CM115">
        <v>5</v>
      </c>
      <c r="CN115">
        <v>2</v>
      </c>
      <c r="CO115">
        <v>3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5</v>
      </c>
      <c r="CY115">
        <v>10</v>
      </c>
      <c r="CZ115">
        <v>6</v>
      </c>
      <c r="DA115">
        <v>0</v>
      </c>
      <c r="DB115">
        <v>0</v>
      </c>
      <c r="DC115">
        <v>0</v>
      </c>
      <c r="DD115">
        <v>1</v>
      </c>
      <c r="DE115">
        <v>0</v>
      </c>
      <c r="DF115">
        <v>1</v>
      </c>
      <c r="DG115">
        <v>0</v>
      </c>
      <c r="DH115">
        <v>0</v>
      </c>
      <c r="DI115">
        <v>2</v>
      </c>
      <c r="DJ115">
        <v>10</v>
      </c>
      <c r="DK115">
        <v>11</v>
      </c>
      <c r="DL115">
        <v>4</v>
      </c>
      <c r="DM115">
        <v>1</v>
      </c>
      <c r="DN115">
        <v>1</v>
      </c>
      <c r="DO115">
        <v>1</v>
      </c>
      <c r="DP115">
        <v>3</v>
      </c>
      <c r="DQ115">
        <v>0</v>
      </c>
      <c r="DR115">
        <v>0</v>
      </c>
      <c r="DS115">
        <v>0</v>
      </c>
      <c r="DT115">
        <v>0</v>
      </c>
      <c r="DU115">
        <v>1</v>
      </c>
      <c r="DV115">
        <v>11</v>
      </c>
      <c r="DW115">
        <v>26</v>
      </c>
      <c r="DX115">
        <v>3</v>
      </c>
      <c r="DY115">
        <v>18</v>
      </c>
      <c r="DZ115">
        <v>0</v>
      </c>
      <c r="EA115">
        <v>4</v>
      </c>
      <c r="EB115">
        <v>1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26</v>
      </c>
      <c r="EI115">
        <v>5</v>
      </c>
      <c r="EJ115">
        <v>0</v>
      </c>
      <c r="EK115">
        <v>1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4</v>
      </c>
      <c r="ER115">
        <v>0</v>
      </c>
      <c r="ES115">
        <v>0</v>
      </c>
      <c r="ET115">
        <v>5</v>
      </c>
    </row>
    <row r="116" spans="1:150" ht="12.75">
      <c r="A116">
        <v>111</v>
      </c>
      <c r="B116" t="str">
        <f t="shared" si="20"/>
        <v>060602</v>
      </c>
      <c r="C116" t="str">
        <f t="shared" si="21"/>
        <v>Fajsławice</v>
      </c>
      <c r="D116" t="str">
        <f t="shared" si="19"/>
        <v>krasnostawski</v>
      </c>
      <c r="E116" t="str">
        <f t="shared" si="12"/>
        <v>lubelskie</v>
      </c>
      <c r="F116">
        <v>3</v>
      </c>
      <c r="G116" t="str">
        <f>"Zespół Dworsko-Parkowy, Siedliska Pierwsze 123, 21-060 Fajsławice"</f>
        <v>Zespół Dworsko-Parkowy, Siedliska Pierwsze 123, 21-060 Fajsławice</v>
      </c>
      <c r="H116">
        <v>336</v>
      </c>
      <c r="I116">
        <v>336</v>
      </c>
      <c r="J116">
        <v>0</v>
      </c>
      <c r="K116">
        <v>240</v>
      </c>
      <c r="L116">
        <v>162</v>
      </c>
      <c r="M116">
        <v>78</v>
      </c>
      <c r="N116">
        <v>78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78</v>
      </c>
      <c r="Z116">
        <v>0</v>
      </c>
      <c r="AA116">
        <v>0</v>
      </c>
      <c r="AB116">
        <v>78</v>
      </c>
      <c r="AC116">
        <v>6</v>
      </c>
      <c r="AD116">
        <v>72</v>
      </c>
      <c r="AE116">
        <v>4</v>
      </c>
      <c r="AF116">
        <v>2</v>
      </c>
      <c r="AG116">
        <v>0</v>
      </c>
      <c r="AH116">
        <v>1</v>
      </c>
      <c r="AI116">
        <v>0</v>
      </c>
      <c r="AJ116">
        <v>0</v>
      </c>
      <c r="AK116">
        <v>0</v>
      </c>
      <c r="AL116">
        <v>0</v>
      </c>
      <c r="AM116">
        <v>1</v>
      </c>
      <c r="AN116">
        <v>0</v>
      </c>
      <c r="AO116">
        <v>0</v>
      </c>
      <c r="AP116">
        <v>4</v>
      </c>
      <c r="AQ116">
        <v>1</v>
      </c>
      <c r="AR116">
        <v>1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1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28</v>
      </c>
      <c r="BP116">
        <v>5</v>
      </c>
      <c r="BQ116">
        <v>6</v>
      </c>
      <c r="BR116">
        <v>7</v>
      </c>
      <c r="BS116">
        <v>2</v>
      </c>
      <c r="BT116">
        <v>0</v>
      </c>
      <c r="BU116">
        <v>0</v>
      </c>
      <c r="BV116">
        <v>0</v>
      </c>
      <c r="BW116">
        <v>8</v>
      </c>
      <c r="BX116">
        <v>0</v>
      </c>
      <c r="BY116">
        <v>0</v>
      </c>
      <c r="BZ116">
        <v>28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3</v>
      </c>
      <c r="CN116">
        <v>2</v>
      </c>
      <c r="CO116">
        <v>0</v>
      </c>
      <c r="CP116">
        <v>0</v>
      </c>
      <c r="CQ116">
        <v>0</v>
      </c>
      <c r="CR116">
        <v>0</v>
      </c>
      <c r="CS116">
        <v>1</v>
      </c>
      <c r="CT116">
        <v>0</v>
      </c>
      <c r="CU116">
        <v>0</v>
      </c>
      <c r="CV116">
        <v>0</v>
      </c>
      <c r="CW116">
        <v>0</v>
      </c>
      <c r="CX116">
        <v>3</v>
      </c>
      <c r="CY116">
        <v>8</v>
      </c>
      <c r="CZ116">
        <v>3</v>
      </c>
      <c r="DA116">
        <v>0</v>
      </c>
      <c r="DB116">
        <v>0</v>
      </c>
      <c r="DC116">
        <v>0</v>
      </c>
      <c r="DD116">
        <v>4</v>
      </c>
      <c r="DE116">
        <v>0</v>
      </c>
      <c r="DF116">
        <v>0</v>
      </c>
      <c r="DG116">
        <v>0</v>
      </c>
      <c r="DH116">
        <v>0</v>
      </c>
      <c r="DI116">
        <v>1</v>
      </c>
      <c r="DJ116">
        <v>8</v>
      </c>
      <c r="DK116">
        <v>1</v>
      </c>
      <c r="DL116">
        <v>1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1</v>
      </c>
      <c r="DW116">
        <v>22</v>
      </c>
      <c r="DX116">
        <v>5</v>
      </c>
      <c r="DY116">
        <v>14</v>
      </c>
      <c r="DZ116">
        <v>0</v>
      </c>
      <c r="EA116">
        <v>1</v>
      </c>
      <c r="EB116">
        <v>0</v>
      </c>
      <c r="EC116">
        <v>0</v>
      </c>
      <c r="ED116">
        <v>0</v>
      </c>
      <c r="EE116">
        <v>1</v>
      </c>
      <c r="EF116">
        <v>1</v>
      </c>
      <c r="EG116">
        <v>0</v>
      </c>
      <c r="EH116">
        <v>22</v>
      </c>
      <c r="EI116">
        <v>5</v>
      </c>
      <c r="EJ116">
        <v>1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4</v>
      </c>
      <c r="ER116">
        <v>0</v>
      </c>
      <c r="ES116">
        <v>0</v>
      </c>
      <c r="ET116">
        <v>5</v>
      </c>
    </row>
    <row r="117" spans="1:150" ht="12.75">
      <c r="A117">
        <v>112</v>
      </c>
      <c r="B117" t="str">
        <f t="shared" si="20"/>
        <v>060602</v>
      </c>
      <c r="C117" t="str">
        <f t="shared" si="21"/>
        <v>Fajsławice</v>
      </c>
      <c r="D117" t="str">
        <f t="shared" si="19"/>
        <v>krasnostawski</v>
      </c>
      <c r="E117" t="str">
        <f t="shared" si="12"/>
        <v>lubelskie</v>
      </c>
      <c r="F117">
        <v>4</v>
      </c>
      <c r="G117" t="str">
        <f>"Zespół Szkół, Siedliska Drugie 190, 21-060 Fajsławice"</f>
        <v>Zespół Szkół, Siedliska Drugie 190, 21-060 Fajsławice</v>
      </c>
      <c r="H117">
        <v>684</v>
      </c>
      <c r="I117">
        <v>684</v>
      </c>
      <c r="J117">
        <v>0</v>
      </c>
      <c r="K117">
        <v>480</v>
      </c>
      <c r="L117">
        <v>334</v>
      </c>
      <c r="M117">
        <v>146</v>
      </c>
      <c r="N117">
        <v>146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146</v>
      </c>
      <c r="Z117">
        <v>0</v>
      </c>
      <c r="AA117">
        <v>0</v>
      </c>
      <c r="AB117">
        <v>146</v>
      </c>
      <c r="AC117">
        <v>3</v>
      </c>
      <c r="AD117">
        <v>143</v>
      </c>
      <c r="AE117">
        <v>6</v>
      </c>
      <c r="AF117">
        <v>5</v>
      </c>
      <c r="AG117">
        <v>0</v>
      </c>
      <c r="AH117">
        <v>0</v>
      </c>
      <c r="AI117">
        <v>0</v>
      </c>
      <c r="AJ117">
        <v>0</v>
      </c>
      <c r="AK117">
        <v>1</v>
      </c>
      <c r="AL117">
        <v>0</v>
      </c>
      <c r="AM117">
        <v>0</v>
      </c>
      <c r="AN117">
        <v>0</v>
      </c>
      <c r="AO117">
        <v>0</v>
      </c>
      <c r="AP117">
        <v>6</v>
      </c>
      <c r="AQ117">
        <v>5</v>
      </c>
      <c r="AR117">
        <v>1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1</v>
      </c>
      <c r="AZ117">
        <v>3</v>
      </c>
      <c r="BA117">
        <v>0</v>
      </c>
      <c r="BB117">
        <v>5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74</v>
      </c>
      <c r="BP117">
        <v>19</v>
      </c>
      <c r="BQ117">
        <v>46</v>
      </c>
      <c r="BR117">
        <v>0</v>
      </c>
      <c r="BS117">
        <v>3</v>
      </c>
      <c r="BT117">
        <v>1</v>
      </c>
      <c r="BU117">
        <v>0</v>
      </c>
      <c r="BV117">
        <v>1</v>
      </c>
      <c r="BW117">
        <v>2</v>
      </c>
      <c r="BX117">
        <v>1</v>
      </c>
      <c r="BY117">
        <v>1</v>
      </c>
      <c r="BZ117">
        <v>74</v>
      </c>
      <c r="CA117">
        <v>1</v>
      </c>
      <c r="CB117">
        <v>1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1</v>
      </c>
      <c r="CM117">
        <v>4</v>
      </c>
      <c r="CN117">
        <v>2</v>
      </c>
      <c r="CO117">
        <v>0</v>
      </c>
      <c r="CP117">
        <v>0</v>
      </c>
      <c r="CQ117">
        <v>1</v>
      </c>
      <c r="CR117">
        <v>0</v>
      </c>
      <c r="CS117">
        <v>0</v>
      </c>
      <c r="CT117">
        <v>0</v>
      </c>
      <c r="CU117">
        <v>1</v>
      </c>
      <c r="CV117">
        <v>0</v>
      </c>
      <c r="CW117">
        <v>0</v>
      </c>
      <c r="CX117">
        <v>4</v>
      </c>
      <c r="CY117">
        <v>8</v>
      </c>
      <c r="CZ117">
        <v>7</v>
      </c>
      <c r="DA117">
        <v>0</v>
      </c>
      <c r="DB117">
        <v>0</v>
      </c>
      <c r="DC117">
        <v>0</v>
      </c>
      <c r="DD117">
        <v>0</v>
      </c>
      <c r="DE117">
        <v>1</v>
      </c>
      <c r="DF117">
        <v>0</v>
      </c>
      <c r="DG117">
        <v>0</v>
      </c>
      <c r="DH117">
        <v>0</v>
      </c>
      <c r="DI117">
        <v>0</v>
      </c>
      <c r="DJ117">
        <v>8</v>
      </c>
      <c r="DK117">
        <v>2</v>
      </c>
      <c r="DL117">
        <v>0</v>
      </c>
      <c r="DM117">
        <v>0</v>
      </c>
      <c r="DN117">
        <v>1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1</v>
      </c>
      <c r="DV117">
        <v>2</v>
      </c>
      <c r="DW117">
        <v>23</v>
      </c>
      <c r="DX117">
        <v>1</v>
      </c>
      <c r="DY117">
        <v>18</v>
      </c>
      <c r="DZ117">
        <v>0</v>
      </c>
      <c r="EA117">
        <v>4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23</v>
      </c>
      <c r="EI117">
        <v>20</v>
      </c>
      <c r="EJ117">
        <v>1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19</v>
      </c>
      <c r="ER117">
        <v>0</v>
      </c>
      <c r="ES117">
        <v>0</v>
      </c>
      <c r="ET117">
        <v>20</v>
      </c>
    </row>
    <row r="118" spans="1:150" ht="12.75">
      <c r="A118">
        <v>113</v>
      </c>
      <c r="B118" t="str">
        <f t="shared" si="20"/>
        <v>060602</v>
      </c>
      <c r="C118" t="str">
        <f t="shared" si="21"/>
        <v>Fajsławice</v>
      </c>
      <c r="D118" t="str">
        <f t="shared" si="19"/>
        <v>krasnostawski</v>
      </c>
      <c r="E118" t="str">
        <f t="shared" si="12"/>
        <v>lubelskie</v>
      </c>
      <c r="F118">
        <v>5</v>
      </c>
      <c r="G118" t="str">
        <f>"Publiczna Szkoła Podstawowa, Boniewo 43, 21-060 Fajsławice"</f>
        <v>Publiczna Szkoła Podstawowa, Boniewo 43, 21-060 Fajsławice</v>
      </c>
      <c r="H118">
        <v>393</v>
      </c>
      <c r="I118">
        <v>393</v>
      </c>
      <c r="J118">
        <v>0</v>
      </c>
      <c r="K118">
        <v>250</v>
      </c>
      <c r="L118">
        <v>184</v>
      </c>
      <c r="M118">
        <v>66</v>
      </c>
      <c r="N118">
        <v>66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66</v>
      </c>
      <c r="Z118">
        <v>0</v>
      </c>
      <c r="AA118">
        <v>0</v>
      </c>
      <c r="AB118">
        <v>66</v>
      </c>
      <c r="AC118">
        <v>1</v>
      </c>
      <c r="AD118">
        <v>65</v>
      </c>
      <c r="AE118">
        <v>1</v>
      </c>
      <c r="AF118">
        <v>0</v>
      </c>
      <c r="AG118">
        <v>0</v>
      </c>
      <c r="AH118">
        <v>0</v>
      </c>
      <c r="AI118">
        <v>0</v>
      </c>
      <c r="AJ118">
        <v>1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1</v>
      </c>
      <c r="AQ118">
        <v>3</v>
      </c>
      <c r="AR118">
        <v>3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3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30</v>
      </c>
      <c r="BP118">
        <v>10</v>
      </c>
      <c r="BQ118">
        <v>13</v>
      </c>
      <c r="BR118">
        <v>3</v>
      </c>
      <c r="BS118">
        <v>3</v>
      </c>
      <c r="BT118">
        <v>0</v>
      </c>
      <c r="BU118">
        <v>0</v>
      </c>
      <c r="BV118">
        <v>0</v>
      </c>
      <c r="BW118">
        <v>1</v>
      </c>
      <c r="BX118">
        <v>0</v>
      </c>
      <c r="BY118">
        <v>0</v>
      </c>
      <c r="BZ118">
        <v>30</v>
      </c>
      <c r="CA118">
        <v>1</v>
      </c>
      <c r="CB118">
        <v>1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1</v>
      </c>
      <c r="CM118">
        <v>1</v>
      </c>
      <c r="CN118">
        <v>1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1</v>
      </c>
      <c r="CY118">
        <v>6</v>
      </c>
      <c r="CZ118">
        <v>1</v>
      </c>
      <c r="DA118">
        <v>0</v>
      </c>
      <c r="DB118">
        <v>1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4</v>
      </c>
      <c r="DJ118">
        <v>6</v>
      </c>
      <c r="DK118">
        <v>8</v>
      </c>
      <c r="DL118">
        <v>5</v>
      </c>
      <c r="DM118">
        <v>3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8</v>
      </c>
      <c r="DW118">
        <v>14</v>
      </c>
      <c r="DX118">
        <v>1</v>
      </c>
      <c r="DY118">
        <v>5</v>
      </c>
      <c r="DZ118">
        <v>0</v>
      </c>
      <c r="EA118">
        <v>7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1</v>
      </c>
      <c r="EH118">
        <v>14</v>
      </c>
      <c r="EI118">
        <v>1</v>
      </c>
      <c r="EJ118">
        <v>1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0</v>
      </c>
      <c r="ET118">
        <v>1</v>
      </c>
    </row>
    <row r="119" spans="1:150" ht="12.75">
      <c r="A119">
        <v>114</v>
      </c>
      <c r="B119" t="str">
        <f t="shared" si="20"/>
        <v>060602</v>
      </c>
      <c r="C119" t="str">
        <f t="shared" si="21"/>
        <v>Fajsławice</v>
      </c>
      <c r="D119" t="str">
        <f t="shared" si="19"/>
        <v>krasnostawski</v>
      </c>
      <c r="E119" t="str">
        <f t="shared" si="12"/>
        <v>lubelskie</v>
      </c>
      <c r="F119">
        <v>6</v>
      </c>
      <c r="G119" t="str">
        <f>"Remiza OSP, Wola Idzikowska 42, 21-060 Fajsławice"</f>
        <v>Remiza OSP, Wola Idzikowska 42, 21-060 Fajsławice</v>
      </c>
      <c r="H119">
        <v>589</v>
      </c>
      <c r="I119">
        <v>589</v>
      </c>
      <c r="J119">
        <v>0</v>
      </c>
      <c r="K119">
        <v>409</v>
      </c>
      <c r="L119">
        <v>281</v>
      </c>
      <c r="M119">
        <v>128</v>
      </c>
      <c r="N119">
        <v>128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128</v>
      </c>
      <c r="Z119">
        <v>0</v>
      </c>
      <c r="AA119">
        <v>0</v>
      </c>
      <c r="AB119">
        <v>128</v>
      </c>
      <c r="AC119">
        <v>0</v>
      </c>
      <c r="AD119">
        <v>128</v>
      </c>
      <c r="AE119">
        <v>5</v>
      </c>
      <c r="AF119">
        <v>2</v>
      </c>
      <c r="AG119">
        <v>0</v>
      </c>
      <c r="AH119">
        <v>0</v>
      </c>
      <c r="AI119">
        <v>0</v>
      </c>
      <c r="AJ119">
        <v>2</v>
      </c>
      <c r="AK119">
        <v>1</v>
      </c>
      <c r="AL119">
        <v>0</v>
      </c>
      <c r="AM119">
        <v>0</v>
      </c>
      <c r="AN119">
        <v>0</v>
      </c>
      <c r="AO119">
        <v>0</v>
      </c>
      <c r="AP119">
        <v>5</v>
      </c>
      <c r="AQ119">
        <v>1</v>
      </c>
      <c r="AR119">
        <v>0</v>
      </c>
      <c r="AS119">
        <v>1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1</v>
      </c>
      <c r="BC119">
        <v>3</v>
      </c>
      <c r="BD119">
        <v>2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1</v>
      </c>
      <c r="BN119">
        <v>3</v>
      </c>
      <c r="BO119">
        <v>51</v>
      </c>
      <c r="BP119">
        <v>32</v>
      </c>
      <c r="BQ119">
        <v>7</v>
      </c>
      <c r="BR119">
        <v>2</v>
      </c>
      <c r="BS119">
        <v>2</v>
      </c>
      <c r="BT119">
        <v>0</v>
      </c>
      <c r="BU119">
        <v>0</v>
      </c>
      <c r="BV119">
        <v>0</v>
      </c>
      <c r="BW119">
        <v>7</v>
      </c>
      <c r="BX119">
        <v>0</v>
      </c>
      <c r="BY119">
        <v>1</v>
      </c>
      <c r="BZ119">
        <v>51</v>
      </c>
      <c r="CA119">
        <v>4</v>
      </c>
      <c r="CB119">
        <v>2</v>
      </c>
      <c r="CC119">
        <v>1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1</v>
      </c>
      <c r="CL119">
        <v>4</v>
      </c>
      <c r="CM119">
        <v>2</v>
      </c>
      <c r="CN119">
        <v>0</v>
      </c>
      <c r="CO119">
        <v>0</v>
      </c>
      <c r="CP119">
        <v>1</v>
      </c>
      <c r="CQ119">
        <v>1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2</v>
      </c>
      <c r="CY119">
        <v>16</v>
      </c>
      <c r="CZ119">
        <v>9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7</v>
      </c>
      <c r="DJ119">
        <v>16</v>
      </c>
      <c r="DK119">
        <v>3</v>
      </c>
      <c r="DL119">
        <v>2</v>
      </c>
      <c r="DM119">
        <v>0</v>
      </c>
      <c r="DN119">
        <v>0</v>
      </c>
      <c r="DO119">
        <v>0</v>
      </c>
      <c r="DP119">
        <v>0</v>
      </c>
      <c r="DQ119">
        <v>1</v>
      </c>
      <c r="DR119">
        <v>0</v>
      </c>
      <c r="DS119">
        <v>0</v>
      </c>
      <c r="DT119">
        <v>0</v>
      </c>
      <c r="DU119">
        <v>0</v>
      </c>
      <c r="DV119">
        <v>3</v>
      </c>
      <c r="DW119">
        <v>35</v>
      </c>
      <c r="DX119">
        <v>2</v>
      </c>
      <c r="DY119">
        <v>20</v>
      </c>
      <c r="DZ119">
        <v>1</v>
      </c>
      <c r="EA119">
        <v>10</v>
      </c>
      <c r="EB119">
        <v>2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35</v>
      </c>
      <c r="EI119">
        <v>8</v>
      </c>
      <c r="EJ119">
        <v>1</v>
      </c>
      <c r="EK119">
        <v>0</v>
      </c>
      <c r="EL119">
        <v>1</v>
      </c>
      <c r="EM119">
        <v>0</v>
      </c>
      <c r="EN119">
        <v>0</v>
      </c>
      <c r="EO119">
        <v>0</v>
      </c>
      <c r="EP119">
        <v>0</v>
      </c>
      <c r="EQ119">
        <v>6</v>
      </c>
      <c r="ER119">
        <v>0</v>
      </c>
      <c r="ES119">
        <v>0</v>
      </c>
      <c r="ET119">
        <v>8</v>
      </c>
    </row>
    <row r="120" spans="1:150" ht="12.75">
      <c r="A120">
        <v>115</v>
      </c>
      <c r="B120" t="str">
        <f aca="true" t="shared" si="22" ref="B120:B127">"060603"</f>
        <v>060603</v>
      </c>
      <c r="C120" t="str">
        <f aca="true" t="shared" si="23" ref="C120:C127">"Gorzków"</f>
        <v>Gorzków</v>
      </c>
      <c r="D120" t="str">
        <f t="shared" si="19"/>
        <v>krasnostawski</v>
      </c>
      <c r="E120" t="str">
        <f t="shared" si="12"/>
        <v>lubelskie</v>
      </c>
      <c r="F120">
        <v>1</v>
      </c>
      <c r="G120" t="str">
        <f>"Centrum Społeczno-Kulturalne, Nadrzeczna 4, Gorzków-Osada, 22-315 Gorzków"</f>
        <v>Centrum Społeczno-Kulturalne, Nadrzeczna 4, Gorzków-Osada, 22-315 Gorzków</v>
      </c>
      <c r="H120">
        <v>1037</v>
      </c>
      <c r="I120">
        <v>1037</v>
      </c>
      <c r="J120">
        <v>0</v>
      </c>
      <c r="K120">
        <v>730</v>
      </c>
      <c r="L120">
        <v>499</v>
      </c>
      <c r="M120">
        <v>231</v>
      </c>
      <c r="N120">
        <v>231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231</v>
      </c>
      <c r="Z120">
        <v>0</v>
      </c>
      <c r="AA120">
        <v>0</v>
      </c>
      <c r="AB120">
        <v>231</v>
      </c>
      <c r="AC120">
        <v>3</v>
      </c>
      <c r="AD120">
        <v>228</v>
      </c>
      <c r="AE120">
        <v>3</v>
      </c>
      <c r="AF120">
        <v>1</v>
      </c>
      <c r="AG120">
        <v>0</v>
      </c>
      <c r="AH120">
        <v>0</v>
      </c>
      <c r="AI120">
        <v>0</v>
      </c>
      <c r="AJ120">
        <v>0</v>
      </c>
      <c r="AK120">
        <v>1</v>
      </c>
      <c r="AL120">
        <v>1</v>
      </c>
      <c r="AM120">
        <v>0</v>
      </c>
      <c r="AN120">
        <v>0</v>
      </c>
      <c r="AO120">
        <v>0</v>
      </c>
      <c r="AP120">
        <v>3</v>
      </c>
      <c r="AQ120">
        <v>2</v>
      </c>
      <c r="AR120">
        <v>1</v>
      </c>
      <c r="AS120">
        <v>0</v>
      </c>
      <c r="AT120">
        <v>0</v>
      </c>
      <c r="AU120">
        <v>0</v>
      </c>
      <c r="AV120">
        <v>0</v>
      </c>
      <c r="AW120">
        <v>1</v>
      </c>
      <c r="AX120">
        <v>0</v>
      </c>
      <c r="AY120">
        <v>0</v>
      </c>
      <c r="AZ120">
        <v>0</v>
      </c>
      <c r="BA120">
        <v>0</v>
      </c>
      <c r="BB120">
        <v>2</v>
      </c>
      <c r="BC120">
        <v>7</v>
      </c>
      <c r="BD120">
        <v>6</v>
      </c>
      <c r="BE120">
        <v>0</v>
      </c>
      <c r="BF120">
        <v>0</v>
      </c>
      <c r="BG120">
        <v>0</v>
      </c>
      <c r="BH120">
        <v>1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7</v>
      </c>
      <c r="BO120">
        <v>86</v>
      </c>
      <c r="BP120">
        <v>24</v>
      </c>
      <c r="BQ120">
        <v>33</v>
      </c>
      <c r="BR120">
        <v>15</v>
      </c>
      <c r="BS120">
        <v>3</v>
      </c>
      <c r="BT120">
        <v>2</v>
      </c>
      <c r="BU120">
        <v>0</v>
      </c>
      <c r="BV120">
        <v>0</v>
      </c>
      <c r="BW120">
        <v>7</v>
      </c>
      <c r="BX120">
        <v>0</v>
      </c>
      <c r="BY120">
        <v>2</v>
      </c>
      <c r="BZ120">
        <v>86</v>
      </c>
      <c r="CA120">
        <v>17</v>
      </c>
      <c r="CB120">
        <v>8</v>
      </c>
      <c r="CC120">
        <v>4</v>
      </c>
      <c r="CD120">
        <v>1</v>
      </c>
      <c r="CE120">
        <v>2</v>
      </c>
      <c r="CF120">
        <v>1</v>
      </c>
      <c r="CG120">
        <v>0</v>
      </c>
      <c r="CH120">
        <v>0</v>
      </c>
      <c r="CI120">
        <v>0</v>
      </c>
      <c r="CJ120">
        <v>0</v>
      </c>
      <c r="CK120">
        <v>1</v>
      </c>
      <c r="CL120">
        <v>17</v>
      </c>
      <c r="CM120">
        <v>5</v>
      </c>
      <c r="CN120">
        <v>3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2</v>
      </c>
      <c r="CX120">
        <v>5</v>
      </c>
      <c r="CY120">
        <v>14</v>
      </c>
      <c r="CZ120">
        <v>7</v>
      </c>
      <c r="DA120">
        <v>0</v>
      </c>
      <c r="DB120">
        <v>0</v>
      </c>
      <c r="DC120">
        <v>0</v>
      </c>
      <c r="DD120">
        <v>1</v>
      </c>
      <c r="DE120">
        <v>0</v>
      </c>
      <c r="DF120">
        <v>0</v>
      </c>
      <c r="DG120">
        <v>0</v>
      </c>
      <c r="DH120">
        <v>0</v>
      </c>
      <c r="DI120">
        <v>6</v>
      </c>
      <c r="DJ120">
        <v>14</v>
      </c>
      <c r="DK120">
        <v>12</v>
      </c>
      <c r="DL120">
        <v>6</v>
      </c>
      <c r="DM120">
        <v>0</v>
      </c>
      <c r="DN120">
        <v>0</v>
      </c>
      <c r="DO120">
        <v>0</v>
      </c>
      <c r="DP120">
        <v>6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12</v>
      </c>
      <c r="DW120">
        <v>81</v>
      </c>
      <c r="DX120">
        <v>63</v>
      </c>
      <c r="DY120">
        <v>5</v>
      </c>
      <c r="DZ120">
        <v>4</v>
      </c>
      <c r="EA120">
        <v>8</v>
      </c>
      <c r="EB120">
        <v>1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81</v>
      </c>
      <c r="EI120">
        <v>1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1</v>
      </c>
      <c r="ET120">
        <v>1</v>
      </c>
    </row>
    <row r="121" spans="1:150" ht="12.75">
      <c r="A121">
        <v>116</v>
      </c>
      <c r="B121" t="str">
        <f t="shared" si="22"/>
        <v>060603</v>
      </c>
      <c r="C121" t="str">
        <f t="shared" si="23"/>
        <v>Gorzków</v>
      </c>
      <c r="D121" t="str">
        <f t="shared" si="19"/>
        <v>krasnostawski</v>
      </c>
      <c r="E121" t="str">
        <f t="shared" si="12"/>
        <v>lubelskie</v>
      </c>
      <c r="F121">
        <v>2</v>
      </c>
      <c r="G121" t="str">
        <f>"Remiza OSP, Orchowiec 180, 22-315 Gorzków"</f>
        <v>Remiza OSP, Orchowiec 180, 22-315 Gorzków</v>
      </c>
      <c r="H121">
        <v>528</v>
      </c>
      <c r="I121">
        <v>528</v>
      </c>
      <c r="J121">
        <v>0</v>
      </c>
      <c r="K121">
        <v>380</v>
      </c>
      <c r="L121">
        <v>289</v>
      </c>
      <c r="M121">
        <v>91</v>
      </c>
      <c r="N121">
        <v>91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91</v>
      </c>
      <c r="Z121">
        <v>0</v>
      </c>
      <c r="AA121">
        <v>0</v>
      </c>
      <c r="AB121">
        <v>91</v>
      </c>
      <c r="AC121">
        <v>0</v>
      </c>
      <c r="AD121">
        <v>91</v>
      </c>
      <c r="AE121">
        <v>6</v>
      </c>
      <c r="AF121">
        <v>1</v>
      </c>
      <c r="AG121">
        <v>1</v>
      </c>
      <c r="AH121">
        <v>0</v>
      </c>
      <c r="AI121">
        <v>1</v>
      </c>
      <c r="AJ121">
        <v>1</v>
      </c>
      <c r="AK121">
        <v>1</v>
      </c>
      <c r="AL121">
        <v>0</v>
      </c>
      <c r="AM121">
        <v>0</v>
      </c>
      <c r="AN121">
        <v>1</v>
      </c>
      <c r="AO121">
        <v>0</v>
      </c>
      <c r="AP121">
        <v>6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7</v>
      </c>
      <c r="BD121">
        <v>4</v>
      </c>
      <c r="BE121">
        <v>0</v>
      </c>
      <c r="BF121">
        <v>0</v>
      </c>
      <c r="BG121">
        <v>1</v>
      </c>
      <c r="BH121">
        <v>1</v>
      </c>
      <c r="BI121">
        <v>0</v>
      </c>
      <c r="BJ121">
        <v>1</v>
      </c>
      <c r="BK121">
        <v>0</v>
      </c>
      <c r="BL121">
        <v>0</v>
      </c>
      <c r="BM121">
        <v>0</v>
      </c>
      <c r="BN121">
        <v>7</v>
      </c>
      <c r="BO121">
        <v>41</v>
      </c>
      <c r="BP121">
        <v>6</v>
      </c>
      <c r="BQ121">
        <v>17</v>
      </c>
      <c r="BR121">
        <v>9</v>
      </c>
      <c r="BS121">
        <v>4</v>
      </c>
      <c r="BT121">
        <v>0</v>
      </c>
      <c r="BU121">
        <v>1</v>
      </c>
      <c r="BV121">
        <v>0</v>
      </c>
      <c r="BW121">
        <v>3</v>
      </c>
      <c r="BX121">
        <v>1</v>
      </c>
      <c r="BY121">
        <v>0</v>
      </c>
      <c r="BZ121">
        <v>41</v>
      </c>
      <c r="CA121">
        <v>2</v>
      </c>
      <c r="CB121">
        <v>1</v>
      </c>
      <c r="CC121">
        <v>0</v>
      </c>
      <c r="CD121">
        <v>0</v>
      </c>
      <c r="CE121">
        <v>0</v>
      </c>
      <c r="CF121">
        <v>1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2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8</v>
      </c>
      <c r="DL121">
        <v>5</v>
      </c>
      <c r="DM121">
        <v>2</v>
      </c>
      <c r="DN121">
        <v>0</v>
      </c>
      <c r="DO121">
        <v>1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8</v>
      </c>
      <c r="DW121">
        <v>26</v>
      </c>
      <c r="DX121">
        <v>22</v>
      </c>
      <c r="DY121">
        <v>1</v>
      </c>
      <c r="DZ121">
        <v>1</v>
      </c>
      <c r="EA121">
        <v>1</v>
      </c>
      <c r="EB121">
        <v>1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26</v>
      </c>
      <c r="EI121">
        <v>1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1</v>
      </c>
      <c r="ET121">
        <v>1</v>
      </c>
    </row>
    <row r="122" spans="1:150" ht="12.75">
      <c r="A122">
        <v>117</v>
      </c>
      <c r="B122" t="str">
        <f t="shared" si="22"/>
        <v>060603</v>
      </c>
      <c r="C122" t="str">
        <f t="shared" si="23"/>
        <v>Gorzków</v>
      </c>
      <c r="D122" t="str">
        <f t="shared" si="19"/>
        <v>krasnostawski</v>
      </c>
      <c r="E122" t="str">
        <f t="shared" si="12"/>
        <v>lubelskie</v>
      </c>
      <c r="F122">
        <v>3</v>
      </c>
      <c r="G122" t="str">
        <f>"Budynek po byłej szkole, Wielkopole 80, 22-315 Gorzków"</f>
        <v>Budynek po byłej szkole, Wielkopole 80, 22-315 Gorzków</v>
      </c>
      <c r="H122">
        <v>465</v>
      </c>
      <c r="I122">
        <v>465</v>
      </c>
      <c r="J122">
        <v>0</v>
      </c>
      <c r="K122">
        <v>330</v>
      </c>
      <c r="L122">
        <v>244</v>
      </c>
      <c r="M122">
        <v>86</v>
      </c>
      <c r="N122">
        <v>86</v>
      </c>
      <c r="O122">
        <v>0</v>
      </c>
      <c r="P122">
        <v>0</v>
      </c>
      <c r="Q122">
        <v>4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86</v>
      </c>
      <c r="Z122">
        <v>0</v>
      </c>
      <c r="AA122">
        <v>0</v>
      </c>
      <c r="AB122">
        <v>86</v>
      </c>
      <c r="AC122">
        <v>6</v>
      </c>
      <c r="AD122">
        <v>80</v>
      </c>
      <c r="AE122">
        <v>3</v>
      </c>
      <c r="AF122">
        <v>0</v>
      </c>
      <c r="AG122">
        <v>0</v>
      </c>
      <c r="AH122">
        <v>0</v>
      </c>
      <c r="AI122">
        <v>0</v>
      </c>
      <c r="AJ122">
        <v>2</v>
      </c>
      <c r="AK122">
        <v>0</v>
      </c>
      <c r="AL122">
        <v>0</v>
      </c>
      <c r="AM122">
        <v>0</v>
      </c>
      <c r="AN122">
        <v>1</v>
      </c>
      <c r="AO122">
        <v>0</v>
      </c>
      <c r="AP122">
        <v>3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5</v>
      </c>
      <c r="BD122">
        <v>1</v>
      </c>
      <c r="BE122">
        <v>1</v>
      </c>
      <c r="BF122">
        <v>1</v>
      </c>
      <c r="BG122">
        <v>0</v>
      </c>
      <c r="BH122">
        <v>2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5</v>
      </c>
      <c r="BO122">
        <v>23</v>
      </c>
      <c r="BP122">
        <v>5</v>
      </c>
      <c r="BQ122">
        <v>9</v>
      </c>
      <c r="BR122">
        <v>0</v>
      </c>
      <c r="BS122">
        <v>4</v>
      </c>
      <c r="BT122">
        <v>0</v>
      </c>
      <c r="BU122">
        <v>0</v>
      </c>
      <c r="BV122">
        <v>0</v>
      </c>
      <c r="BW122">
        <v>5</v>
      </c>
      <c r="BX122">
        <v>0</v>
      </c>
      <c r="BY122">
        <v>0</v>
      </c>
      <c r="BZ122">
        <v>23</v>
      </c>
      <c r="CA122">
        <v>5</v>
      </c>
      <c r="CB122">
        <v>1</v>
      </c>
      <c r="CC122">
        <v>4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5</v>
      </c>
      <c r="CM122">
        <v>1</v>
      </c>
      <c r="CN122">
        <v>1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1</v>
      </c>
      <c r="CY122">
        <v>3</v>
      </c>
      <c r="CZ122">
        <v>0</v>
      </c>
      <c r="DA122">
        <v>1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2</v>
      </c>
      <c r="DJ122">
        <v>3</v>
      </c>
      <c r="DK122">
        <v>13</v>
      </c>
      <c r="DL122">
        <v>3</v>
      </c>
      <c r="DM122">
        <v>3</v>
      </c>
      <c r="DN122">
        <v>0</v>
      </c>
      <c r="DO122">
        <v>0</v>
      </c>
      <c r="DP122">
        <v>7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13</v>
      </c>
      <c r="DW122">
        <v>27</v>
      </c>
      <c r="DX122">
        <v>16</v>
      </c>
      <c r="DY122">
        <v>3</v>
      </c>
      <c r="DZ122">
        <v>0</v>
      </c>
      <c r="EA122">
        <v>7</v>
      </c>
      <c r="EB122">
        <v>0</v>
      </c>
      <c r="EC122">
        <v>0</v>
      </c>
      <c r="ED122">
        <v>0</v>
      </c>
      <c r="EE122">
        <v>0</v>
      </c>
      <c r="EF122">
        <v>1</v>
      </c>
      <c r="EG122">
        <v>0</v>
      </c>
      <c r="EH122">
        <v>27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</row>
    <row r="123" spans="1:150" ht="12.75">
      <c r="A123">
        <v>118</v>
      </c>
      <c r="B123" t="str">
        <f t="shared" si="22"/>
        <v>060603</v>
      </c>
      <c r="C123" t="str">
        <f t="shared" si="23"/>
        <v>Gorzków</v>
      </c>
      <c r="D123" t="str">
        <f t="shared" si="19"/>
        <v>krasnostawski</v>
      </c>
      <c r="E123" t="str">
        <f t="shared" si="12"/>
        <v>lubelskie</v>
      </c>
      <c r="F123">
        <v>4</v>
      </c>
      <c r="G123" t="str">
        <f>"Remiza OSP, Piaski Szlacheckie 25A, 22-315 Gorzków"</f>
        <v>Remiza OSP, Piaski Szlacheckie 25A, 22-315 Gorzków</v>
      </c>
      <c r="H123">
        <v>281</v>
      </c>
      <c r="I123">
        <v>281</v>
      </c>
      <c r="J123">
        <v>0</v>
      </c>
      <c r="K123">
        <v>200</v>
      </c>
      <c r="L123">
        <v>166</v>
      </c>
      <c r="M123">
        <v>34</v>
      </c>
      <c r="N123">
        <v>34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34</v>
      </c>
      <c r="Z123">
        <v>0</v>
      </c>
      <c r="AA123">
        <v>0</v>
      </c>
      <c r="AB123">
        <v>34</v>
      </c>
      <c r="AC123">
        <v>0</v>
      </c>
      <c r="AD123">
        <v>34</v>
      </c>
      <c r="AE123">
        <v>3</v>
      </c>
      <c r="AF123">
        <v>0</v>
      </c>
      <c r="AG123">
        <v>0</v>
      </c>
      <c r="AH123">
        <v>1</v>
      </c>
      <c r="AI123">
        <v>0</v>
      </c>
      <c r="AJ123">
        <v>0</v>
      </c>
      <c r="AK123">
        <v>0</v>
      </c>
      <c r="AL123">
        <v>0</v>
      </c>
      <c r="AM123">
        <v>2</v>
      </c>
      <c r="AN123">
        <v>0</v>
      </c>
      <c r="AO123">
        <v>0</v>
      </c>
      <c r="AP123">
        <v>3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3</v>
      </c>
      <c r="BD123">
        <v>0</v>
      </c>
      <c r="BE123">
        <v>0</v>
      </c>
      <c r="BF123">
        <v>0</v>
      </c>
      <c r="BG123">
        <v>1</v>
      </c>
      <c r="BH123">
        <v>1</v>
      </c>
      <c r="BI123">
        <v>0</v>
      </c>
      <c r="BJ123">
        <v>0</v>
      </c>
      <c r="BK123">
        <v>1</v>
      </c>
      <c r="BL123">
        <v>0</v>
      </c>
      <c r="BM123">
        <v>0</v>
      </c>
      <c r="BN123">
        <v>3</v>
      </c>
      <c r="BO123">
        <v>10</v>
      </c>
      <c r="BP123">
        <v>5</v>
      </c>
      <c r="BQ123">
        <v>3</v>
      </c>
      <c r="BR123">
        <v>1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1</v>
      </c>
      <c r="BZ123">
        <v>10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1</v>
      </c>
      <c r="CN123">
        <v>1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1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17</v>
      </c>
      <c r="DX123">
        <v>13</v>
      </c>
      <c r="DY123">
        <v>1</v>
      </c>
      <c r="DZ123">
        <v>0</v>
      </c>
      <c r="EA123">
        <v>2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1</v>
      </c>
      <c r="EH123">
        <v>17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0</v>
      </c>
      <c r="ET123">
        <v>0</v>
      </c>
    </row>
    <row r="124" spans="1:150" ht="12.75">
      <c r="A124">
        <v>119</v>
      </c>
      <c r="B124" t="str">
        <f t="shared" si="22"/>
        <v>060603</v>
      </c>
      <c r="C124" t="str">
        <f t="shared" si="23"/>
        <v>Gorzków</v>
      </c>
      <c r="D124" t="str">
        <f t="shared" si="19"/>
        <v>krasnostawski</v>
      </c>
      <c r="E124" t="str">
        <f t="shared" si="12"/>
        <v>lubelskie</v>
      </c>
      <c r="F124">
        <v>5</v>
      </c>
      <c r="G124" t="str">
        <f>"Remiza OSP, Borów 114, 22-315 Gorzków"</f>
        <v>Remiza OSP, Borów 114, 22-315 Gorzków</v>
      </c>
      <c r="H124">
        <v>473</v>
      </c>
      <c r="I124">
        <v>473</v>
      </c>
      <c r="J124">
        <v>0</v>
      </c>
      <c r="K124">
        <v>328</v>
      </c>
      <c r="L124">
        <v>244</v>
      </c>
      <c r="M124">
        <v>84</v>
      </c>
      <c r="N124">
        <v>84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84</v>
      </c>
      <c r="Z124">
        <v>0</v>
      </c>
      <c r="AA124">
        <v>0</v>
      </c>
      <c r="AB124">
        <v>84</v>
      </c>
      <c r="AC124">
        <v>0</v>
      </c>
      <c r="AD124">
        <v>84</v>
      </c>
      <c r="AE124">
        <v>3</v>
      </c>
      <c r="AF124">
        <v>1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1</v>
      </c>
      <c r="AM124">
        <v>1</v>
      </c>
      <c r="AN124">
        <v>0</v>
      </c>
      <c r="AO124">
        <v>0</v>
      </c>
      <c r="AP124">
        <v>3</v>
      </c>
      <c r="AQ124">
        <v>2</v>
      </c>
      <c r="AR124">
        <v>2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2</v>
      </c>
      <c r="BC124">
        <v>1</v>
      </c>
      <c r="BD124">
        <v>1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1</v>
      </c>
      <c r="BO124">
        <v>19</v>
      </c>
      <c r="BP124">
        <v>6</v>
      </c>
      <c r="BQ124">
        <v>4</v>
      </c>
      <c r="BR124">
        <v>8</v>
      </c>
      <c r="BS124">
        <v>0</v>
      </c>
      <c r="BT124">
        <v>0</v>
      </c>
      <c r="BU124">
        <v>0</v>
      </c>
      <c r="BV124">
        <v>0</v>
      </c>
      <c r="BW124">
        <v>1</v>
      </c>
      <c r="BX124">
        <v>0</v>
      </c>
      <c r="BY124">
        <v>0</v>
      </c>
      <c r="BZ124">
        <v>19</v>
      </c>
      <c r="CA124">
        <v>7</v>
      </c>
      <c r="CB124">
        <v>2</v>
      </c>
      <c r="CC124">
        <v>3</v>
      </c>
      <c r="CD124">
        <v>0</v>
      </c>
      <c r="CE124">
        <v>0</v>
      </c>
      <c r="CF124">
        <v>1</v>
      </c>
      <c r="CG124">
        <v>0</v>
      </c>
      <c r="CH124">
        <v>1</v>
      </c>
      <c r="CI124">
        <v>0</v>
      </c>
      <c r="CJ124">
        <v>0</v>
      </c>
      <c r="CK124">
        <v>0</v>
      </c>
      <c r="CL124">
        <v>7</v>
      </c>
      <c r="CM124">
        <v>1</v>
      </c>
      <c r="CN124">
        <v>1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1</v>
      </c>
      <c r="CY124">
        <v>4</v>
      </c>
      <c r="CZ124">
        <v>2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1</v>
      </c>
      <c r="DI124">
        <v>1</v>
      </c>
      <c r="DJ124">
        <v>4</v>
      </c>
      <c r="DK124">
        <v>8</v>
      </c>
      <c r="DL124">
        <v>0</v>
      </c>
      <c r="DM124">
        <v>2</v>
      </c>
      <c r="DN124">
        <v>0</v>
      </c>
      <c r="DO124">
        <v>0</v>
      </c>
      <c r="DP124">
        <v>5</v>
      </c>
      <c r="DQ124">
        <v>1</v>
      </c>
      <c r="DR124">
        <v>0</v>
      </c>
      <c r="DS124">
        <v>0</v>
      </c>
      <c r="DT124">
        <v>0</v>
      </c>
      <c r="DU124">
        <v>0</v>
      </c>
      <c r="DV124">
        <v>8</v>
      </c>
      <c r="DW124">
        <v>38</v>
      </c>
      <c r="DX124">
        <v>32</v>
      </c>
      <c r="DY124">
        <v>2</v>
      </c>
      <c r="DZ124">
        <v>0</v>
      </c>
      <c r="EA124">
        <v>3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1</v>
      </c>
      <c r="EH124">
        <v>38</v>
      </c>
      <c r="EI124">
        <v>1</v>
      </c>
      <c r="EJ124">
        <v>0</v>
      </c>
      <c r="EK124">
        <v>0</v>
      </c>
      <c r="EL124">
        <v>0</v>
      </c>
      <c r="EM124">
        <v>1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0</v>
      </c>
      <c r="ET124">
        <v>1</v>
      </c>
    </row>
    <row r="125" spans="1:150" ht="12.75">
      <c r="A125">
        <v>120</v>
      </c>
      <c r="B125" t="str">
        <f t="shared" si="22"/>
        <v>060603</v>
      </c>
      <c r="C125" t="str">
        <f t="shared" si="23"/>
        <v>Gorzków</v>
      </c>
      <c r="D125" t="str">
        <f t="shared" si="19"/>
        <v>krasnostawski</v>
      </c>
      <c r="E125" t="str">
        <f t="shared" si="12"/>
        <v>lubelskie</v>
      </c>
      <c r="F125">
        <v>6</v>
      </c>
      <c r="G125" t="str">
        <f>"Remiza OSP, Antoniówka 38, 22-315 Gorzków"</f>
        <v>Remiza OSP, Antoniówka 38, 22-315 Gorzków</v>
      </c>
      <c r="H125">
        <v>121</v>
      </c>
      <c r="I125">
        <v>121</v>
      </c>
      <c r="J125">
        <v>0</v>
      </c>
      <c r="K125">
        <v>80</v>
      </c>
      <c r="L125">
        <v>62</v>
      </c>
      <c r="M125">
        <v>18</v>
      </c>
      <c r="N125">
        <v>18</v>
      </c>
      <c r="O125">
        <v>0</v>
      </c>
      <c r="P125">
        <v>0</v>
      </c>
      <c r="Q125">
        <v>1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18</v>
      </c>
      <c r="Z125">
        <v>0</v>
      </c>
      <c r="AA125">
        <v>0</v>
      </c>
      <c r="AB125">
        <v>18</v>
      </c>
      <c r="AC125">
        <v>0</v>
      </c>
      <c r="AD125">
        <v>18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1</v>
      </c>
      <c r="BD125">
        <v>0</v>
      </c>
      <c r="BE125">
        <v>0</v>
      </c>
      <c r="BF125">
        <v>0</v>
      </c>
      <c r="BG125">
        <v>0</v>
      </c>
      <c r="BH125">
        <v>1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1</v>
      </c>
      <c r="BO125">
        <v>2</v>
      </c>
      <c r="BP125">
        <v>0</v>
      </c>
      <c r="BQ125">
        <v>1</v>
      </c>
      <c r="BR125">
        <v>1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2</v>
      </c>
      <c r="CA125">
        <v>3</v>
      </c>
      <c r="CB125">
        <v>3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3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2</v>
      </c>
      <c r="DL125">
        <v>0</v>
      </c>
      <c r="DM125">
        <v>0</v>
      </c>
      <c r="DN125">
        <v>0</v>
      </c>
      <c r="DO125">
        <v>0</v>
      </c>
      <c r="DP125">
        <v>2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2</v>
      </c>
      <c r="DW125">
        <v>10</v>
      </c>
      <c r="DX125">
        <v>10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10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0</v>
      </c>
      <c r="ET125">
        <v>0</v>
      </c>
    </row>
    <row r="126" spans="1:150" ht="12.75">
      <c r="A126">
        <v>121</v>
      </c>
      <c r="B126" t="str">
        <f t="shared" si="22"/>
        <v>060603</v>
      </c>
      <c r="C126" t="str">
        <f t="shared" si="23"/>
        <v>Gorzków</v>
      </c>
      <c r="D126" t="str">
        <f t="shared" si="19"/>
        <v>krasnostawski</v>
      </c>
      <c r="E126" t="str">
        <f t="shared" si="12"/>
        <v>lubelskie</v>
      </c>
      <c r="F126">
        <v>7</v>
      </c>
      <c r="G126" t="str">
        <f>"Budynek po byłej szkole, Baranica 22, 22-315 Gorzków"</f>
        <v>Budynek po byłej szkole, Baranica 22, 22-315 Gorzków</v>
      </c>
      <c r="H126">
        <v>101</v>
      </c>
      <c r="I126">
        <v>101</v>
      </c>
      <c r="J126">
        <v>0</v>
      </c>
      <c r="K126">
        <v>70</v>
      </c>
      <c r="L126">
        <v>50</v>
      </c>
      <c r="M126">
        <v>20</v>
      </c>
      <c r="N126">
        <v>20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20</v>
      </c>
      <c r="Z126">
        <v>0</v>
      </c>
      <c r="AA126">
        <v>0</v>
      </c>
      <c r="AB126">
        <v>20</v>
      </c>
      <c r="AC126">
        <v>0</v>
      </c>
      <c r="AD126">
        <v>20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6</v>
      </c>
      <c r="BD126">
        <v>3</v>
      </c>
      <c r="BE126">
        <v>0</v>
      </c>
      <c r="BF126">
        <v>0</v>
      </c>
      <c r="BG126">
        <v>1</v>
      </c>
      <c r="BH126">
        <v>2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6</v>
      </c>
      <c r="BO126">
        <v>2</v>
      </c>
      <c r="BP126">
        <v>1</v>
      </c>
      <c r="BQ126">
        <v>1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2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2</v>
      </c>
      <c r="CN126">
        <v>2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2</v>
      </c>
      <c r="CY126">
        <v>1</v>
      </c>
      <c r="CZ126">
        <v>1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1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9</v>
      </c>
      <c r="DX126">
        <v>1</v>
      </c>
      <c r="DY126">
        <v>1</v>
      </c>
      <c r="DZ126">
        <v>0</v>
      </c>
      <c r="EA126">
        <v>4</v>
      </c>
      <c r="EB126">
        <v>0</v>
      </c>
      <c r="EC126">
        <v>2</v>
      </c>
      <c r="ED126">
        <v>0</v>
      </c>
      <c r="EE126">
        <v>0</v>
      </c>
      <c r="EF126">
        <v>1</v>
      </c>
      <c r="EG126">
        <v>0</v>
      </c>
      <c r="EH126">
        <v>9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</row>
    <row r="127" spans="1:150" ht="12.75">
      <c r="A127">
        <v>122</v>
      </c>
      <c r="B127" t="str">
        <f t="shared" si="22"/>
        <v>060603</v>
      </c>
      <c r="C127" t="str">
        <f t="shared" si="23"/>
        <v>Gorzków</v>
      </c>
      <c r="D127" t="str">
        <f t="shared" si="19"/>
        <v>krasnostawski</v>
      </c>
      <c r="E127" t="str">
        <f t="shared" si="12"/>
        <v>lubelskie</v>
      </c>
      <c r="F127">
        <v>8</v>
      </c>
      <c r="G127" t="str">
        <f>"Budynek po byłej szkole, Bobrowe 81, 22-315 Gorzków"</f>
        <v>Budynek po byłej szkole, Bobrowe 81, 22-315 Gorzków</v>
      </c>
      <c r="H127">
        <v>178</v>
      </c>
      <c r="I127">
        <v>178</v>
      </c>
      <c r="J127">
        <v>0</v>
      </c>
      <c r="K127">
        <v>120</v>
      </c>
      <c r="L127">
        <v>79</v>
      </c>
      <c r="M127">
        <v>41</v>
      </c>
      <c r="N127">
        <v>41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41</v>
      </c>
      <c r="Z127">
        <v>0</v>
      </c>
      <c r="AA127">
        <v>0</v>
      </c>
      <c r="AB127">
        <v>41</v>
      </c>
      <c r="AC127">
        <v>1</v>
      </c>
      <c r="AD127">
        <v>40</v>
      </c>
      <c r="AE127">
        <v>1</v>
      </c>
      <c r="AF127">
        <v>1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1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18</v>
      </c>
      <c r="BP127">
        <v>5</v>
      </c>
      <c r="BQ127">
        <v>4</v>
      </c>
      <c r="BR127">
        <v>7</v>
      </c>
      <c r="BS127">
        <v>0</v>
      </c>
      <c r="BT127">
        <v>0</v>
      </c>
      <c r="BU127">
        <v>2</v>
      </c>
      <c r="BV127">
        <v>0</v>
      </c>
      <c r="BW127">
        <v>0</v>
      </c>
      <c r="BX127">
        <v>0</v>
      </c>
      <c r="BY127">
        <v>0</v>
      </c>
      <c r="BZ127">
        <v>18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1</v>
      </c>
      <c r="CZ127">
        <v>0</v>
      </c>
      <c r="DA127">
        <v>0</v>
      </c>
      <c r="DB127">
        <v>0</v>
      </c>
      <c r="DC127">
        <v>0</v>
      </c>
      <c r="DD127">
        <v>1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1</v>
      </c>
      <c r="DK127">
        <v>5</v>
      </c>
      <c r="DL127">
        <v>2</v>
      </c>
      <c r="DM127">
        <v>0</v>
      </c>
      <c r="DN127">
        <v>1</v>
      </c>
      <c r="DO127">
        <v>0</v>
      </c>
      <c r="DP127">
        <v>2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5</v>
      </c>
      <c r="DW127">
        <v>15</v>
      </c>
      <c r="DX127">
        <v>6</v>
      </c>
      <c r="DY127">
        <v>2</v>
      </c>
      <c r="DZ127">
        <v>0</v>
      </c>
      <c r="EA127">
        <v>6</v>
      </c>
      <c r="EB127">
        <v>1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15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</row>
    <row r="128" spans="1:150" ht="12.75">
      <c r="A128">
        <v>123</v>
      </c>
      <c r="B128" t="str">
        <f aca="true" t="shared" si="24" ref="B128:B136">"060604"</f>
        <v>060604</v>
      </c>
      <c r="C128" t="str">
        <f aca="true" t="shared" si="25" ref="C128:C136">"Izbica"</f>
        <v>Izbica</v>
      </c>
      <c r="D128" t="str">
        <f t="shared" si="19"/>
        <v>krasnostawski</v>
      </c>
      <c r="E128" t="str">
        <f t="shared" si="12"/>
        <v>lubelskie</v>
      </c>
      <c r="F128">
        <v>1</v>
      </c>
      <c r="G128" t="str">
        <f>"Izbica, Gminna 4, Izbica-Wieś, 22-375 Izbica"</f>
        <v>Izbica, Gminna 4, Izbica-Wieś, 22-375 Izbica</v>
      </c>
      <c r="H128">
        <v>1564</v>
      </c>
      <c r="I128">
        <v>1564</v>
      </c>
      <c r="J128">
        <v>0</v>
      </c>
      <c r="K128">
        <v>1110</v>
      </c>
      <c r="L128">
        <v>819</v>
      </c>
      <c r="M128">
        <v>291</v>
      </c>
      <c r="N128">
        <v>291</v>
      </c>
      <c r="O128">
        <v>0</v>
      </c>
      <c r="P128">
        <v>0</v>
      </c>
      <c r="Q128">
        <v>2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291</v>
      </c>
      <c r="Z128">
        <v>0</v>
      </c>
      <c r="AA128">
        <v>0</v>
      </c>
      <c r="AB128">
        <v>291</v>
      </c>
      <c r="AC128">
        <v>14</v>
      </c>
      <c r="AD128">
        <v>277</v>
      </c>
      <c r="AE128">
        <v>7</v>
      </c>
      <c r="AF128">
        <v>7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7</v>
      </c>
      <c r="AQ128">
        <v>7</v>
      </c>
      <c r="AR128">
        <v>3</v>
      </c>
      <c r="AS128">
        <v>2</v>
      </c>
      <c r="AT128">
        <v>0</v>
      </c>
      <c r="AU128">
        <v>0</v>
      </c>
      <c r="AV128">
        <v>0</v>
      </c>
      <c r="AW128">
        <v>0</v>
      </c>
      <c r="AX128">
        <v>1</v>
      </c>
      <c r="AY128">
        <v>0</v>
      </c>
      <c r="AZ128">
        <v>0</v>
      </c>
      <c r="BA128">
        <v>1</v>
      </c>
      <c r="BB128">
        <v>7</v>
      </c>
      <c r="BC128">
        <v>65</v>
      </c>
      <c r="BD128">
        <v>8</v>
      </c>
      <c r="BE128">
        <v>0</v>
      </c>
      <c r="BF128">
        <v>5</v>
      </c>
      <c r="BG128">
        <v>0</v>
      </c>
      <c r="BH128">
        <v>49</v>
      </c>
      <c r="BI128">
        <v>0</v>
      </c>
      <c r="BJ128">
        <v>0</v>
      </c>
      <c r="BK128">
        <v>1</v>
      </c>
      <c r="BL128">
        <v>0</v>
      </c>
      <c r="BM128">
        <v>2</v>
      </c>
      <c r="BN128">
        <v>65</v>
      </c>
      <c r="BO128">
        <v>89</v>
      </c>
      <c r="BP128">
        <v>18</v>
      </c>
      <c r="BQ128">
        <v>33</v>
      </c>
      <c r="BR128">
        <v>20</v>
      </c>
      <c r="BS128">
        <v>9</v>
      </c>
      <c r="BT128">
        <v>1</v>
      </c>
      <c r="BU128">
        <v>0</v>
      </c>
      <c r="BV128">
        <v>1</v>
      </c>
      <c r="BW128">
        <v>4</v>
      </c>
      <c r="BX128">
        <v>1</v>
      </c>
      <c r="BY128">
        <v>2</v>
      </c>
      <c r="BZ128">
        <v>89</v>
      </c>
      <c r="CA128">
        <v>4</v>
      </c>
      <c r="CB128">
        <v>3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1</v>
      </c>
      <c r="CI128">
        <v>0</v>
      </c>
      <c r="CJ128">
        <v>0</v>
      </c>
      <c r="CK128">
        <v>0</v>
      </c>
      <c r="CL128">
        <v>4</v>
      </c>
      <c r="CM128">
        <v>3</v>
      </c>
      <c r="CN128">
        <v>2</v>
      </c>
      <c r="CO128">
        <v>0</v>
      </c>
      <c r="CP128">
        <v>0</v>
      </c>
      <c r="CQ128">
        <v>1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3</v>
      </c>
      <c r="CY128">
        <v>21</v>
      </c>
      <c r="CZ128">
        <v>10</v>
      </c>
      <c r="DA128">
        <v>2</v>
      </c>
      <c r="DB128">
        <v>0</v>
      </c>
      <c r="DC128">
        <v>1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8</v>
      </c>
      <c r="DJ128">
        <v>21</v>
      </c>
      <c r="DK128">
        <v>51</v>
      </c>
      <c r="DL128">
        <v>23</v>
      </c>
      <c r="DM128">
        <v>6</v>
      </c>
      <c r="DN128">
        <v>4</v>
      </c>
      <c r="DO128">
        <v>1</v>
      </c>
      <c r="DP128">
        <v>16</v>
      </c>
      <c r="DQ128">
        <v>1</v>
      </c>
      <c r="DR128">
        <v>0</v>
      </c>
      <c r="DS128">
        <v>0</v>
      </c>
      <c r="DT128">
        <v>0</v>
      </c>
      <c r="DU128">
        <v>0</v>
      </c>
      <c r="DV128">
        <v>51</v>
      </c>
      <c r="DW128">
        <v>29</v>
      </c>
      <c r="DX128">
        <v>7</v>
      </c>
      <c r="DY128">
        <v>7</v>
      </c>
      <c r="DZ128">
        <v>0</v>
      </c>
      <c r="EA128">
        <v>14</v>
      </c>
      <c r="EB128">
        <v>0</v>
      </c>
      <c r="EC128">
        <v>0</v>
      </c>
      <c r="ED128">
        <v>1</v>
      </c>
      <c r="EE128">
        <v>0</v>
      </c>
      <c r="EF128">
        <v>0</v>
      </c>
      <c r="EG128">
        <v>0</v>
      </c>
      <c r="EH128">
        <v>29</v>
      </c>
      <c r="EI128">
        <v>1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1</v>
      </c>
      <c r="EQ128">
        <v>0</v>
      </c>
      <c r="ER128">
        <v>0</v>
      </c>
      <c r="ES128">
        <v>0</v>
      </c>
      <c r="ET128">
        <v>1</v>
      </c>
    </row>
    <row r="129" spans="1:150" ht="12.75">
      <c r="A129">
        <v>124</v>
      </c>
      <c r="B129" t="str">
        <f t="shared" si="24"/>
        <v>060604</v>
      </c>
      <c r="C129" t="str">
        <f t="shared" si="25"/>
        <v>Izbica</v>
      </c>
      <c r="D129" t="str">
        <f aca="true" t="shared" si="26" ref="D129:D160">"krasnostawski"</f>
        <v>krasnostawski</v>
      </c>
      <c r="E129" t="str">
        <f t="shared" si="12"/>
        <v>lubelskie</v>
      </c>
      <c r="F129">
        <v>2</v>
      </c>
      <c r="G129" t="str">
        <f>"Wólka Orłowska Wiejski Dom Kultury, 22-375 Wólka Orłowska 133"</f>
        <v>Wólka Orłowska Wiejski Dom Kultury, 22-375 Wólka Orłowska 133</v>
      </c>
      <c r="H129">
        <v>585</v>
      </c>
      <c r="I129">
        <v>585</v>
      </c>
      <c r="J129">
        <v>0</v>
      </c>
      <c r="K129">
        <v>410</v>
      </c>
      <c r="L129">
        <v>305</v>
      </c>
      <c r="M129">
        <v>105</v>
      </c>
      <c r="N129">
        <v>105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105</v>
      </c>
      <c r="Z129">
        <v>0</v>
      </c>
      <c r="AA129">
        <v>0</v>
      </c>
      <c r="AB129">
        <v>105</v>
      </c>
      <c r="AC129">
        <v>5</v>
      </c>
      <c r="AD129">
        <v>100</v>
      </c>
      <c r="AE129">
        <v>7</v>
      </c>
      <c r="AF129">
        <v>0</v>
      </c>
      <c r="AG129">
        <v>1</v>
      </c>
      <c r="AH129">
        <v>0</v>
      </c>
      <c r="AI129">
        <v>1</v>
      </c>
      <c r="AJ129">
        <v>5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7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12</v>
      </c>
      <c r="BD129">
        <v>0</v>
      </c>
      <c r="BE129">
        <v>0</v>
      </c>
      <c r="BF129">
        <v>1</v>
      </c>
      <c r="BG129">
        <v>0</v>
      </c>
      <c r="BH129">
        <v>11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12</v>
      </c>
      <c r="BO129">
        <v>34</v>
      </c>
      <c r="BP129">
        <v>9</v>
      </c>
      <c r="BQ129">
        <v>15</v>
      </c>
      <c r="BR129">
        <v>5</v>
      </c>
      <c r="BS129">
        <v>4</v>
      </c>
      <c r="BT129">
        <v>0</v>
      </c>
      <c r="BU129">
        <v>0</v>
      </c>
      <c r="BV129">
        <v>0</v>
      </c>
      <c r="BW129">
        <v>1</v>
      </c>
      <c r="BX129">
        <v>0</v>
      </c>
      <c r="BY129">
        <v>0</v>
      </c>
      <c r="BZ129">
        <v>34</v>
      </c>
      <c r="CA129">
        <v>10</v>
      </c>
      <c r="CB129">
        <v>9</v>
      </c>
      <c r="CC129">
        <v>1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10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6</v>
      </c>
      <c r="CZ129">
        <v>1</v>
      </c>
      <c r="DA129">
        <v>0</v>
      </c>
      <c r="DB129">
        <v>0</v>
      </c>
      <c r="DC129">
        <v>1</v>
      </c>
      <c r="DD129">
        <v>0</v>
      </c>
      <c r="DE129">
        <v>1</v>
      </c>
      <c r="DF129">
        <v>0</v>
      </c>
      <c r="DG129">
        <v>1</v>
      </c>
      <c r="DH129">
        <v>0</v>
      </c>
      <c r="DI129">
        <v>2</v>
      </c>
      <c r="DJ129">
        <v>6</v>
      </c>
      <c r="DK129">
        <v>14</v>
      </c>
      <c r="DL129">
        <v>5</v>
      </c>
      <c r="DM129">
        <v>1</v>
      </c>
      <c r="DN129">
        <v>3</v>
      </c>
      <c r="DO129">
        <v>0</v>
      </c>
      <c r="DP129">
        <v>4</v>
      </c>
      <c r="DQ129">
        <v>0</v>
      </c>
      <c r="DR129">
        <v>0</v>
      </c>
      <c r="DS129">
        <v>1</v>
      </c>
      <c r="DT129">
        <v>0</v>
      </c>
      <c r="DU129">
        <v>0</v>
      </c>
      <c r="DV129">
        <v>14</v>
      </c>
      <c r="DW129">
        <v>16</v>
      </c>
      <c r="DX129">
        <v>0</v>
      </c>
      <c r="DY129">
        <v>7</v>
      </c>
      <c r="DZ129">
        <v>3</v>
      </c>
      <c r="EA129">
        <v>6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16</v>
      </c>
      <c r="EI129">
        <v>1</v>
      </c>
      <c r="EJ129">
        <v>0</v>
      </c>
      <c r="EK129">
        <v>0</v>
      </c>
      <c r="EL129">
        <v>0</v>
      </c>
      <c r="EM129">
        <v>1</v>
      </c>
      <c r="EN129">
        <v>0</v>
      </c>
      <c r="EO129">
        <v>0</v>
      </c>
      <c r="EP129">
        <v>0</v>
      </c>
      <c r="EQ129">
        <v>0</v>
      </c>
      <c r="ER129">
        <v>0</v>
      </c>
      <c r="ES129">
        <v>0</v>
      </c>
      <c r="ET129">
        <v>1</v>
      </c>
    </row>
    <row r="130" spans="1:150" ht="12.75">
      <c r="A130">
        <v>125</v>
      </c>
      <c r="B130" t="str">
        <f t="shared" si="24"/>
        <v>060604</v>
      </c>
      <c r="C130" t="str">
        <f t="shared" si="25"/>
        <v>Izbica</v>
      </c>
      <c r="D130" t="str">
        <f t="shared" si="26"/>
        <v>krasnostawski</v>
      </c>
      <c r="E130" t="str">
        <f t="shared" si="12"/>
        <v>lubelskie</v>
      </c>
      <c r="F130">
        <v>3</v>
      </c>
      <c r="G130" t="str">
        <f>"Orłów Drewniany Zespół Szkół, Orłów Drewniany 60A, 22-375 Izbica"</f>
        <v>Orłów Drewniany Zespół Szkół, Orłów Drewniany 60A, 22-375 Izbica</v>
      </c>
      <c r="H130">
        <v>678</v>
      </c>
      <c r="I130">
        <v>678</v>
      </c>
      <c r="J130">
        <v>0</v>
      </c>
      <c r="K130">
        <v>480</v>
      </c>
      <c r="L130">
        <v>408</v>
      </c>
      <c r="M130">
        <v>72</v>
      </c>
      <c r="N130">
        <v>72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72</v>
      </c>
      <c r="Z130">
        <v>0</v>
      </c>
      <c r="AA130">
        <v>0</v>
      </c>
      <c r="AB130">
        <v>72</v>
      </c>
      <c r="AC130">
        <v>4</v>
      </c>
      <c r="AD130">
        <v>68</v>
      </c>
      <c r="AE130">
        <v>2</v>
      </c>
      <c r="AF130">
        <v>0</v>
      </c>
      <c r="AG130">
        <v>0</v>
      </c>
      <c r="AH130">
        <v>0</v>
      </c>
      <c r="AI130">
        <v>0</v>
      </c>
      <c r="AJ130">
        <v>1</v>
      </c>
      <c r="AK130">
        <v>0</v>
      </c>
      <c r="AL130">
        <v>0</v>
      </c>
      <c r="AM130">
        <v>0</v>
      </c>
      <c r="AN130">
        <v>1</v>
      </c>
      <c r="AO130">
        <v>0</v>
      </c>
      <c r="AP130">
        <v>2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11</v>
      </c>
      <c r="BD130">
        <v>1</v>
      </c>
      <c r="BE130">
        <v>0</v>
      </c>
      <c r="BF130">
        <v>0</v>
      </c>
      <c r="BG130">
        <v>0</v>
      </c>
      <c r="BH130">
        <v>9</v>
      </c>
      <c r="BI130">
        <v>0</v>
      </c>
      <c r="BJ130">
        <v>0</v>
      </c>
      <c r="BK130">
        <v>1</v>
      </c>
      <c r="BL130">
        <v>0</v>
      </c>
      <c r="BM130">
        <v>0</v>
      </c>
      <c r="BN130">
        <v>11</v>
      </c>
      <c r="BO130">
        <v>26</v>
      </c>
      <c r="BP130">
        <v>9</v>
      </c>
      <c r="BQ130">
        <v>11</v>
      </c>
      <c r="BR130">
        <v>6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26</v>
      </c>
      <c r="CA130">
        <v>2</v>
      </c>
      <c r="CB130">
        <v>2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2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3</v>
      </c>
      <c r="CZ130">
        <v>1</v>
      </c>
      <c r="DA130">
        <v>0</v>
      </c>
      <c r="DB130">
        <v>1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1</v>
      </c>
      <c r="DJ130">
        <v>3</v>
      </c>
      <c r="DK130">
        <v>13</v>
      </c>
      <c r="DL130">
        <v>9</v>
      </c>
      <c r="DM130">
        <v>2</v>
      </c>
      <c r="DN130">
        <v>0</v>
      </c>
      <c r="DO130">
        <v>0</v>
      </c>
      <c r="DP130">
        <v>2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13</v>
      </c>
      <c r="DW130">
        <v>10</v>
      </c>
      <c r="DX130">
        <v>1</v>
      </c>
      <c r="DY130">
        <v>4</v>
      </c>
      <c r="DZ130">
        <v>0</v>
      </c>
      <c r="EA130">
        <v>5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10</v>
      </c>
      <c r="EI130">
        <v>1</v>
      </c>
      <c r="EJ130">
        <v>0</v>
      </c>
      <c r="EK130">
        <v>0</v>
      </c>
      <c r="EL130">
        <v>1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1</v>
      </c>
    </row>
    <row r="131" spans="1:150" ht="12.75">
      <c r="A131">
        <v>126</v>
      </c>
      <c r="B131" t="str">
        <f t="shared" si="24"/>
        <v>060604</v>
      </c>
      <c r="C131" t="str">
        <f t="shared" si="25"/>
        <v>Izbica</v>
      </c>
      <c r="D131" t="str">
        <f t="shared" si="26"/>
        <v>krasnostawski</v>
      </c>
      <c r="E131" t="str">
        <f t="shared" si="12"/>
        <v>lubelskie</v>
      </c>
      <c r="F131">
        <v>4</v>
      </c>
      <c r="G131" t="str">
        <f>"Stryjów Strażnica OSP, Stryjów 176, 22-375 Izbica"</f>
        <v>Stryjów Strażnica OSP, Stryjów 176, 22-375 Izbica</v>
      </c>
      <c r="H131">
        <v>711</v>
      </c>
      <c r="I131">
        <v>711</v>
      </c>
      <c r="J131">
        <v>0</v>
      </c>
      <c r="K131">
        <v>500</v>
      </c>
      <c r="L131">
        <v>375</v>
      </c>
      <c r="M131">
        <v>125</v>
      </c>
      <c r="N131">
        <v>125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125</v>
      </c>
      <c r="Z131">
        <v>0</v>
      </c>
      <c r="AA131">
        <v>0</v>
      </c>
      <c r="AB131">
        <v>125</v>
      </c>
      <c r="AC131">
        <v>4</v>
      </c>
      <c r="AD131">
        <v>121</v>
      </c>
      <c r="AE131">
        <v>2</v>
      </c>
      <c r="AF131">
        <v>1</v>
      </c>
      <c r="AG131">
        <v>0</v>
      </c>
      <c r="AH131">
        <v>0</v>
      </c>
      <c r="AI131">
        <v>1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2</v>
      </c>
      <c r="AQ131">
        <v>1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1</v>
      </c>
      <c r="BB131">
        <v>1</v>
      </c>
      <c r="BC131">
        <v>19</v>
      </c>
      <c r="BD131">
        <v>1</v>
      </c>
      <c r="BE131">
        <v>0</v>
      </c>
      <c r="BF131">
        <v>2</v>
      </c>
      <c r="BG131">
        <v>0</v>
      </c>
      <c r="BH131">
        <v>16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19</v>
      </c>
      <c r="BO131">
        <v>54</v>
      </c>
      <c r="BP131">
        <v>11</v>
      </c>
      <c r="BQ131">
        <v>22</v>
      </c>
      <c r="BR131">
        <v>15</v>
      </c>
      <c r="BS131">
        <v>5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1</v>
      </c>
      <c r="BZ131">
        <v>54</v>
      </c>
      <c r="CA131">
        <v>6</v>
      </c>
      <c r="CB131">
        <v>3</v>
      </c>
      <c r="CC131">
        <v>0</v>
      </c>
      <c r="CD131">
        <v>2</v>
      </c>
      <c r="CE131">
        <v>0</v>
      </c>
      <c r="CF131">
        <v>0</v>
      </c>
      <c r="CG131">
        <v>1</v>
      </c>
      <c r="CH131">
        <v>0</v>
      </c>
      <c r="CI131">
        <v>0</v>
      </c>
      <c r="CJ131">
        <v>0</v>
      </c>
      <c r="CK131">
        <v>0</v>
      </c>
      <c r="CL131">
        <v>6</v>
      </c>
      <c r="CM131">
        <v>1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1</v>
      </c>
      <c r="CT131">
        <v>0</v>
      </c>
      <c r="CU131">
        <v>0</v>
      </c>
      <c r="CV131">
        <v>0</v>
      </c>
      <c r="CW131">
        <v>0</v>
      </c>
      <c r="CX131">
        <v>1</v>
      </c>
      <c r="CY131">
        <v>7</v>
      </c>
      <c r="CZ131">
        <v>2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5</v>
      </c>
      <c r="DJ131">
        <v>7</v>
      </c>
      <c r="DK131">
        <v>12</v>
      </c>
      <c r="DL131">
        <v>3</v>
      </c>
      <c r="DM131">
        <v>2</v>
      </c>
      <c r="DN131">
        <v>0</v>
      </c>
      <c r="DO131">
        <v>0</v>
      </c>
      <c r="DP131">
        <v>7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12</v>
      </c>
      <c r="DW131">
        <v>19</v>
      </c>
      <c r="DX131">
        <v>8</v>
      </c>
      <c r="DY131">
        <v>8</v>
      </c>
      <c r="DZ131">
        <v>0</v>
      </c>
      <c r="EA131">
        <v>2</v>
      </c>
      <c r="EB131">
        <v>0</v>
      </c>
      <c r="EC131">
        <v>1</v>
      </c>
      <c r="ED131">
        <v>0</v>
      </c>
      <c r="EE131">
        <v>0</v>
      </c>
      <c r="EF131">
        <v>0</v>
      </c>
      <c r="EG131">
        <v>0</v>
      </c>
      <c r="EH131">
        <v>19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0</v>
      </c>
      <c r="ES131">
        <v>0</v>
      </c>
      <c r="ET131">
        <v>0</v>
      </c>
    </row>
    <row r="132" spans="1:150" ht="12.75">
      <c r="A132">
        <v>127</v>
      </c>
      <c r="B132" t="str">
        <f t="shared" si="24"/>
        <v>060604</v>
      </c>
      <c r="C132" t="str">
        <f t="shared" si="25"/>
        <v>Izbica</v>
      </c>
      <c r="D132" t="str">
        <f t="shared" si="26"/>
        <v>krasnostawski</v>
      </c>
      <c r="E132" t="str">
        <f t="shared" si="12"/>
        <v>lubelskie</v>
      </c>
      <c r="F132">
        <v>5</v>
      </c>
      <c r="G132" t="str">
        <f>"Tarnogóra Samorządowy Ośrodek Kultury i Sportu, Krakowskie Przedmieście 72, Tarnogóra, 22-375 Izbica"</f>
        <v>Tarnogóra Samorządowy Ośrodek Kultury i Sportu, Krakowskie Przedmieście 72, Tarnogóra, 22-375 Izbica</v>
      </c>
      <c r="H132">
        <v>924</v>
      </c>
      <c r="I132">
        <v>924</v>
      </c>
      <c r="J132">
        <v>0</v>
      </c>
      <c r="K132">
        <v>650</v>
      </c>
      <c r="L132">
        <v>494</v>
      </c>
      <c r="M132">
        <v>156</v>
      </c>
      <c r="N132">
        <v>156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156</v>
      </c>
      <c r="Z132">
        <v>0</v>
      </c>
      <c r="AA132">
        <v>0</v>
      </c>
      <c r="AB132">
        <v>156</v>
      </c>
      <c r="AC132">
        <v>6</v>
      </c>
      <c r="AD132">
        <v>150</v>
      </c>
      <c r="AE132">
        <v>6</v>
      </c>
      <c r="AF132">
        <v>3</v>
      </c>
      <c r="AG132">
        <v>0</v>
      </c>
      <c r="AH132">
        <v>0</v>
      </c>
      <c r="AI132">
        <v>0</v>
      </c>
      <c r="AJ132">
        <v>1</v>
      </c>
      <c r="AK132">
        <v>0</v>
      </c>
      <c r="AL132">
        <v>1</v>
      </c>
      <c r="AM132">
        <v>0</v>
      </c>
      <c r="AN132">
        <v>0</v>
      </c>
      <c r="AO132">
        <v>1</v>
      </c>
      <c r="AP132">
        <v>6</v>
      </c>
      <c r="AQ132">
        <v>2</v>
      </c>
      <c r="AR132">
        <v>1</v>
      </c>
      <c r="AS132">
        <v>1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2</v>
      </c>
      <c r="BC132">
        <v>29</v>
      </c>
      <c r="BD132">
        <v>3</v>
      </c>
      <c r="BE132">
        <v>0</v>
      </c>
      <c r="BF132">
        <v>1</v>
      </c>
      <c r="BG132">
        <v>1</v>
      </c>
      <c r="BH132">
        <v>22</v>
      </c>
      <c r="BI132">
        <v>0</v>
      </c>
      <c r="BJ132">
        <v>0</v>
      </c>
      <c r="BK132">
        <v>0</v>
      </c>
      <c r="BL132">
        <v>0</v>
      </c>
      <c r="BM132">
        <v>2</v>
      </c>
      <c r="BN132">
        <v>29</v>
      </c>
      <c r="BO132">
        <v>63</v>
      </c>
      <c r="BP132">
        <v>19</v>
      </c>
      <c r="BQ132">
        <v>14</v>
      </c>
      <c r="BR132">
        <v>11</v>
      </c>
      <c r="BS132">
        <v>5</v>
      </c>
      <c r="BT132">
        <v>0</v>
      </c>
      <c r="BU132">
        <v>0</v>
      </c>
      <c r="BV132">
        <v>2</v>
      </c>
      <c r="BW132">
        <v>11</v>
      </c>
      <c r="BX132">
        <v>0</v>
      </c>
      <c r="BY132">
        <v>1</v>
      </c>
      <c r="BZ132">
        <v>63</v>
      </c>
      <c r="CA132">
        <v>1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1</v>
      </c>
      <c r="CL132">
        <v>1</v>
      </c>
      <c r="CM132">
        <v>2</v>
      </c>
      <c r="CN132">
        <v>0</v>
      </c>
      <c r="CO132">
        <v>0</v>
      </c>
      <c r="CP132">
        <v>1</v>
      </c>
      <c r="CQ132">
        <v>0</v>
      </c>
      <c r="CR132">
        <v>0</v>
      </c>
      <c r="CS132">
        <v>1</v>
      </c>
      <c r="CT132">
        <v>0</v>
      </c>
      <c r="CU132">
        <v>0</v>
      </c>
      <c r="CV132">
        <v>0</v>
      </c>
      <c r="CW132">
        <v>0</v>
      </c>
      <c r="CX132">
        <v>2</v>
      </c>
      <c r="CY132">
        <v>6</v>
      </c>
      <c r="CZ132">
        <v>2</v>
      </c>
      <c r="DA132">
        <v>1</v>
      </c>
      <c r="DB132">
        <v>1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2</v>
      </c>
      <c r="DJ132">
        <v>6</v>
      </c>
      <c r="DK132">
        <v>15</v>
      </c>
      <c r="DL132">
        <v>6</v>
      </c>
      <c r="DM132">
        <v>3</v>
      </c>
      <c r="DN132">
        <v>0</v>
      </c>
      <c r="DO132">
        <v>0</v>
      </c>
      <c r="DP132">
        <v>4</v>
      </c>
      <c r="DQ132">
        <v>2</v>
      </c>
      <c r="DR132">
        <v>0</v>
      </c>
      <c r="DS132">
        <v>0</v>
      </c>
      <c r="DT132">
        <v>0</v>
      </c>
      <c r="DU132">
        <v>0</v>
      </c>
      <c r="DV132">
        <v>15</v>
      </c>
      <c r="DW132">
        <v>25</v>
      </c>
      <c r="DX132">
        <v>5</v>
      </c>
      <c r="DY132">
        <v>9</v>
      </c>
      <c r="DZ132">
        <v>1</v>
      </c>
      <c r="EA132">
        <v>10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25</v>
      </c>
      <c r="EI132">
        <v>1</v>
      </c>
      <c r="EJ132">
        <v>1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0</v>
      </c>
      <c r="ET132">
        <v>1</v>
      </c>
    </row>
    <row r="133" spans="1:150" ht="12.75">
      <c r="A133">
        <v>128</v>
      </c>
      <c r="B133" t="str">
        <f t="shared" si="24"/>
        <v>060604</v>
      </c>
      <c r="C133" t="str">
        <f t="shared" si="25"/>
        <v>Izbica</v>
      </c>
      <c r="D133" t="str">
        <f t="shared" si="26"/>
        <v>krasnostawski</v>
      </c>
      <c r="E133" t="str">
        <f t="shared" si="12"/>
        <v>lubelskie</v>
      </c>
      <c r="F133">
        <v>6</v>
      </c>
      <c r="G133" t="str">
        <f>"Tarnogóra-Kolonia Szkoła Podstawowa, Tarnogóra-Kolonia 72, 22-375 Izbica"</f>
        <v>Tarnogóra-Kolonia Szkoła Podstawowa, Tarnogóra-Kolonia 72, 22-375 Izbica</v>
      </c>
      <c r="H133">
        <v>569</v>
      </c>
      <c r="I133">
        <v>569</v>
      </c>
      <c r="J133">
        <v>0</v>
      </c>
      <c r="K133">
        <v>400</v>
      </c>
      <c r="L133">
        <v>341</v>
      </c>
      <c r="M133">
        <v>59</v>
      </c>
      <c r="N133">
        <v>59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59</v>
      </c>
      <c r="Z133">
        <v>0</v>
      </c>
      <c r="AA133">
        <v>0</v>
      </c>
      <c r="AB133">
        <v>59</v>
      </c>
      <c r="AC133">
        <v>1</v>
      </c>
      <c r="AD133">
        <v>58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11</v>
      </c>
      <c r="BD133">
        <v>2</v>
      </c>
      <c r="BE133">
        <v>0</v>
      </c>
      <c r="BF133">
        <v>0</v>
      </c>
      <c r="BG133">
        <v>0</v>
      </c>
      <c r="BH133">
        <v>8</v>
      </c>
      <c r="BI133">
        <v>0</v>
      </c>
      <c r="BJ133">
        <v>1</v>
      </c>
      <c r="BK133">
        <v>0</v>
      </c>
      <c r="BL133">
        <v>0</v>
      </c>
      <c r="BM133">
        <v>0</v>
      </c>
      <c r="BN133">
        <v>11</v>
      </c>
      <c r="BO133">
        <v>29</v>
      </c>
      <c r="BP133">
        <v>9</v>
      </c>
      <c r="BQ133">
        <v>8</v>
      </c>
      <c r="BR133">
        <v>7</v>
      </c>
      <c r="BS133">
        <v>2</v>
      </c>
      <c r="BT133">
        <v>0</v>
      </c>
      <c r="BU133">
        <v>1</v>
      </c>
      <c r="BV133">
        <v>0</v>
      </c>
      <c r="BW133">
        <v>2</v>
      </c>
      <c r="BX133">
        <v>0</v>
      </c>
      <c r="BY133">
        <v>0</v>
      </c>
      <c r="BZ133">
        <v>29</v>
      </c>
      <c r="CA133">
        <v>4</v>
      </c>
      <c r="CB133">
        <v>0</v>
      </c>
      <c r="CC133">
        <v>3</v>
      </c>
      <c r="CD133">
        <v>0</v>
      </c>
      <c r="CE133">
        <v>1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4</v>
      </c>
      <c r="CM133">
        <v>1</v>
      </c>
      <c r="CN133">
        <v>1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1</v>
      </c>
      <c r="CY133">
        <v>2</v>
      </c>
      <c r="CZ133">
        <v>2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2</v>
      </c>
      <c r="DK133">
        <v>4</v>
      </c>
      <c r="DL133">
        <v>2</v>
      </c>
      <c r="DM133">
        <v>0</v>
      </c>
      <c r="DN133">
        <v>0</v>
      </c>
      <c r="DO133">
        <v>0</v>
      </c>
      <c r="DP133">
        <v>1</v>
      </c>
      <c r="DQ133">
        <v>0</v>
      </c>
      <c r="DR133">
        <v>1</v>
      </c>
      <c r="DS133">
        <v>0</v>
      </c>
      <c r="DT133">
        <v>0</v>
      </c>
      <c r="DU133">
        <v>0</v>
      </c>
      <c r="DV133">
        <v>4</v>
      </c>
      <c r="DW133">
        <v>7</v>
      </c>
      <c r="DX133">
        <v>5</v>
      </c>
      <c r="DY133">
        <v>1</v>
      </c>
      <c r="DZ133">
        <v>0</v>
      </c>
      <c r="EA133">
        <v>1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7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0</v>
      </c>
      <c r="ET133">
        <v>0</v>
      </c>
    </row>
    <row r="134" spans="1:150" ht="12.75">
      <c r="A134">
        <v>129</v>
      </c>
      <c r="B134" t="str">
        <f t="shared" si="24"/>
        <v>060604</v>
      </c>
      <c r="C134" t="str">
        <f t="shared" si="25"/>
        <v>Izbica</v>
      </c>
      <c r="D134" t="str">
        <f t="shared" si="26"/>
        <v>krasnostawski</v>
      </c>
      <c r="E134" t="str">
        <f aca="true" t="shared" si="27" ref="E134:E197">"lubelskie"</f>
        <v>lubelskie</v>
      </c>
      <c r="F134">
        <v>7</v>
      </c>
      <c r="G134" t="str">
        <f>"Tarzymiechy Pierwsze Szkoła Podstawowa, Tarzymiechy Pierwsze 72, 22-375 Izbica"</f>
        <v>Tarzymiechy Pierwsze Szkoła Podstawowa, Tarzymiechy Pierwsze 72, 22-375 Izbica</v>
      </c>
      <c r="H134">
        <v>760</v>
      </c>
      <c r="I134">
        <v>760</v>
      </c>
      <c r="J134">
        <v>0</v>
      </c>
      <c r="K134">
        <v>530</v>
      </c>
      <c r="L134">
        <v>439</v>
      </c>
      <c r="M134">
        <v>91</v>
      </c>
      <c r="N134">
        <v>91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91</v>
      </c>
      <c r="Z134">
        <v>0</v>
      </c>
      <c r="AA134">
        <v>0</v>
      </c>
      <c r="AB134">
        <v>91</v>
      </c>
      <c r="AC134">
        <v>0</v>
      </c>
      <c r="AD134">
        <v>91</v>
      </c>
      <c r="AE134">
        <v>7</v>
      </c>
      <c r="AF134">
        <v>4</v>
      </c>
      <c r="AG134">
        <v>1</v>
      </c>
      <c r="AH134">
        <v>1</v>
      </c>
      <c r="AI134">
        <v>0</v>
      </c>
      <c r="AJ134">
        <v>1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7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26</v>
      </c>
      <c r="BD134">
        <v>1</v>
      </c>
      <c r="BE134">
        <v>0</v>
      </c>
      <c r="BF134">
        <v>1</v>
      </c>
      <c r="BG134">
        <v>0</v>
      </c>
      <c r="BH134">
        <v>24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26</v>
      </c>
      <c r="BO134">
        <v>40</v>
      </c>
      <c r="BP134">
        <v>2</v>
      </c>
      <c r="BQ134">
        <v>10</v>
      </c>
      <c r="BR134">
        <v>15</v>
      </c>
      <c r="BS134">
        <v>4</v>
      </c>
      <c r="BT134">
        <v>0</v>
      </c>
      <c r="BU134">
        <v>0</v>
      </c>
      <c r="BV134">
        <v>2</v>
      </c>
      <c r="BW134">
        <v>1</v>
      </c>
      <c r="BX134">
        <v>1</v>
      </c>
      <c r="BY134">
        <v>5</v>
      </c>
      <c r="BZ134">
        <v>40</v>
      </c>
      <c r="CA134">
        <v>1</v>
      </c>
      <c r="CB134">
        <v>1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1</v>
      </c>
      <c r="CM134">
        <v>4</v>
      </c>
      <c r="CN134">
        <v>2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2</v>
      </c>
      <c r="CX134">
        <v>4</v>
      </c>
      <c r="CY134">
        <v>3</v>
      </c>
      <c r="CZ134">
        <v>1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2</v>
      </c>
      <c r="DJ134">
        <v>3</v>
      </c>
      <c r="DK134">
        <v>4</v>
      </c>
      <c r="DL134">
        <v>1</v>
      </c>
      <c r="DM134">
        <v>0</v>
      </c>
      <c r="DN134">
        <v>1</v>
      </c>
      <c r="DO134">
        <v>0</v>
      </c>
      <c r="DP134">
        <v>2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4</v>
      </c>
      <c r="DW134">
        <v>6</v>
      </c>
      <c r="DX134">
        <v>1</v>
      </c>
      <c r="DY134">
        <v>2</v>
      </c>
      <c r="DZ134">
        <v>1</v>
      </c>
      <c r="EA134">
        <v>1</v>
      </c>
      <c r="EB134">
        <v>0</v>
      </c>
      <c r="EC134">
        <v>0</v>
      </c>
      <c r="ED134">
        <v>0</v>
      </c>
      <c r="EE134">
        <v>0</v>
      </c>
      <c r="EF134">
        <v>1</v>
      </c>
      <c r="EG134">
        <v>0</v>
      </c>
      <c r="EH134">
        <v>6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</row>
    <row r="135" spans="1:150" ht="12.75">
      <c r="A135">
        <v>130</v>
      </c>
      <c r="B135" t="str">
        <f t="shared" si="24"/>
        <v>060604</v>
      </c>
      <c r="C135" t="str">
        <f t="shared" si="25"/>
        <v>Izbica</v>
      </c>
      <c r="D135" t="str">
        <f t="shared" si="26"/>
        <v>krasnostawski</v>
      </c>
      <c r="E135" t="str">
        <f t="shared" si="27"/>
        <v>lubelskie</v>
      </c>
      <c r="F135">
        <v>8</v>
      </c>
      <c r="G135" t="str">
        <f>"Wirkowice Drugie Szkoła Podstawowa, 22-375 Wirkowice Drugie 20"</f>
        <v>Wirkowice Drugie Szkoła Podstawowa, 22-375 Wirkowice Drugie 20</v>
      </c>
      <c r="H135">
        <v>810</v>
      </c>
      <c r="I135">
        <v>810</v>
      </c>
      <c r="J135">
        <v>0</v>
      </c>
      <c r="K135">
        <v>569</v>
      </c>
      <c r="L135">
        <v>440</v>
      </c>
      <c r="M135">
        <v>129</v>
      </c>
      <c r="N135">
        <v>129</v>
      </c>
      <c r="O135">
        <v>0</v>
      </c>
      <c r="P135">
        <v>0</v>
      </c>
      <c r="Q135">
        <v>1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129</v>
      </c>
      <c r="Z135">
        <v>0</v>
      </c>
      <c r="AA135">
        <v>0</v>
      </c>
      <c r="AB135">
        <v>129</v>
      </c>
      <c r="AC135">
        <v>4</v>
      </c>
      <c r="AD135">
        <v>125</v>
      </c>
      <c r="AE135">
        <v>6</v>
      </c>
      <c r="AF135">
        <v>4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1</v>
      </c>
      <c r="AO135">
        <v>1</v>
      </c>
      <c r="AP135">
        <v>6</v>
      </c>
      <c r="AQ135">
        <v>2</v>
      </c>
      <c r="AR135">
        <v>0</v>
      </c>
      <c r="AS135">
        <v>1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1</v>
      </c>
      <c r="BA135">
        <v>0</v>
      </c>
      <c r="BB135">
        <v>2</v>
      </c>
      <c r="BC135">
        <v>20</v>
      </c>
      <c r="BD135">
        <v>0</v>
      </c>
      <c r="BE135">
        <v>0</v>
      </c>
      <c r="BF135">
        <v>0</v>
      </c>
      <c r="BG135">
        <v>0</v>
      </c>
      <c r="BH135">
        <v>19</v>
      </c>
      <c r="BI135">
        <v>1</v>
      </c>
      <c r="BJ135">
        <v>0</v>
      </c>
      <c r="BK135">
        <v>0</v>
      </c>
      <c r="BL135">
        <v>0</v>
      </c>
      <c r="BM135">
        <v>0</v>
      </c>
      <c r="BN135">
        <v>20</v>
      </c>
      <c r="BO135">
        <v>59</v>
      </c>
      <c r="BP135">
        <v>25</v>
      </c>
      <c r="BQ135">
        <v>9</v>
      </c>
      <c r="BR135">
        <v>20</v>
      </c>
      <c r="BS135">
        <v>2</v>
      </c>
      <c r="BT135">
        <v>0</v>
      </c>
      <c r="BU135">
        <v>0</v>
      </c>
      <c r="BV135">
        <v>0</v>
      </c>
      <c r="BW135">
        <v>2</v>
      </c>
      <c r="BX135">
        <v>0</v>
      </c>
      <c r="BY135">
        <v>1</v>
      </c>
      <c r="BZ135">
        <v>59</v>
      </c>
      <c r="CA135">
        <v>1</v>
      </c>
      <c r="CB135">
        <v>1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1</v>
      </c>
      <c r="CM135">
        <v>1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1</v>
      </c>
      <c r="CX135">
        <v>1</v>
      </c>
      <c r="CY135">
        <v>6</v>
      </c>
      <c r="CZ135">
        <v>2</v>
      </c>
      <c r="DA135">
        <v>0</v>
      </c>
      <c r="DB135">
        <v>0</v>
      </c>
      <c r="DC135">
        <v>0</v>
      </c>
      <c r="DD135">
        <v>1</v>
      </c>
      <c r="DE135">
        <v>0</v>
      </c>
      <c r="DF135">
        <v>0</v>
      </c>
      <c r="DG135">
        <v>0</v>
      </c>
      <c r="DH135">
        <v>0</v>
      </c>
      <c r="DI135">
        <v>3</v>
      </c>
      <c r="DJ135">
        <v>6</v>
      </c>
      <c r="DK135">
        <v>3</v>
      </c>
      <c r="DL135">
        <v>0</v>
      </c>
      <c r="DM135">
        <v>0</v>
      </c>
      <c r="DN135">
        <v>1</v>
      </c>
      <c r="DO135">
        <v>0</v>
      </c>
      <c r="DP135">
        <v>1</v>
      </c>
      <c r="DQ135">
        <v>0</v>
      </c>
      <c r="DR135">
        <v>0</v>
      </c>
      <c r="DS135">
        <v>1</v>
      </c>
      <c r="DT135">
        <v>0</v>
      </c>
      <c r="DU135">
        <v>0</v>
      </c>
      <c r="DV135">
        <v>3</v>
      </c>
      <c r="DW135">
        <v>26</v>
      </c>
      <c r="DX135">
        <v>5</v>
      </c>
      <c r="DY135">
        <v>9</v>
      </c>
      <c r="DZ135">
        <v>2</v>
      </c>
      <c r="EA135">
        <v>10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  <c r="EH135">
        <v>26</v>
      </c>
      <c r="EI135">
        <v>1</v>
      </c>
      <c r="EJ135">
        <v>1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0</v>
      </c>
      <c r="ES135">
        <v>0</v>
      </c>
      <c r="ET135">
        <v>1</v>
      </c>
    </row>
    <row r="136" spans="1:150" ht="12.75">
      <c r="A136">
        <v>131</v>
      </c>
      <c r="B136" t="str">
        <f t="shared" si="24"/>
        <v>060604</v>
      </c>
      <c r="C136" t="str">
        <f t="shared" si="25"/>
        <v>Izbica</v>
      </c>
      <c r="D136" t="str">
        <f t="shared" si="26"/>
        <v>krasnostawski</v>
      </c>
      <c r="E136" t="str">
        <f t="shared" si="27"/>
        <v>lubelskie</v>
      </c>
      <c r="F136">
        <v>9</v>
      </c>
      <c r="G136" t="str">
        <f>"Dworzyska Strażnica OSP, Dworzyska 60, 22-375 Izbica"</f>
        <v>Dworzyska Strażnica OSP, Dworzyska 60, 22-375 Izbica</v>
      </c>
      <c r="H136">
        <v>456</v>
      </c>
      <c r="I136">
        <v>456</v>
      </c>
      <c r="J136">
        <v>0</v>
      </c>
      <c r="K136">
        <v>320</v>
      </c>
      <c r="L136">
        <v>250</v>
      </c>
      <c r="M136">
        <v>70</v>
      </c>
      <c r="N136">
        <v>70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70</v>
      </c>
      <c r="Z136">
        <v>0</v>
      </c>
      <c r="AA136">
        <v>0</v>
      </c>
      <c r="AB136">
        <v>70</v>
      </c>
      <c r="AC136">
        <v>3</v>
      </c>
      <c r="AD136">
        <v>67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1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1</v>
      </c>
      <c r="AX136">
        <v>0</v>
      </c>
      <c r="AY136">
        <v>0</v>
      </c>
      <c r="AZ136">
        <v>0</v>
      </c>
      <c r="BA136">
        <v>0</v>
      </c>
      <c r="BB136">
        <v>1</v>
      </c>
      <c r="BC136">
        <v>11</v>
      </c>
      <c r="BD136">
        <v>1</v>
      </c>
      <c r="BE136">
        <v>0</v>
      </c>
      <c r="BF136">
        <v>3</v>
      </c>
      <c r="BG136">
        <v>0</v>
      </c>
      <c r="BH136">
        <v>7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11</v>
      </c>
      <c r="BO136">
        <v>31</v>
      </c>
      <c r="BP136">
        <v>15</v>
      </c>
      <c r="BQ136">
        <v>4</v>
      </c>
      <c r="BR136">
        <v>0</v>
      </c>
      <c r="BS136">
        <v>9</v>
      </c>
      <c r="BT136">
        <v>1</v>
      </c>
      <c r="BU136">
        <v>0</v>
      </c>
      <c r="BV136">
        <v>0</v>
      </c>
      <c r="BW136">
        <v>2</v>
      </c>
      <c r="BX136">
        <v>0</v>
      </c>
      <c r="BY136">
        <v>0</v>
      </c>
      <c r="BZ136">
        <v>31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4</v>
      </c>
      <c r="CN136">
        <v>3</v>
      </c>
      <c r="CO136">
        <v>0</v>
      </c>
      <c r="CP136">
        <v>1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4</v>
      </c>
      <c r="CY136">
        <v>5</v>
      </c>
      <c r="CZ136">
        <v>1</v>
      </c>
      <c r="DA136">
        <v>0</v>
      </c>
      <c r="DB136">
        <v>1</v>
      </c>
      <c r="DC136">
        <v>0</v>
      </c>
      <c r="DD136">
        <v>0</v>
      </c>
      <c r="DE136">
        <v>0</v>
      </c>
      <c r="DF136">
        <v>1</v>
      </c>
      <c r="DG136">
        <v>0</v>
      </c>
      <c r="DH136">
        <v>0</v>
      </c>
      <c r="DI136">
        <v>2</v>
      </c>
      <c r="DJ136">
        <v>5</v>
      </c>
      <c r="DK136">
        <v>5</v>
      </c>
      <c r="DL136">
        <v>2</v>
      </c>
      <c r="DM136">
        <v>2</v>
      </c>
      <c r="DN136">
        <v>1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5</v>
      </c>
      <c r="DW136">
        <v>9</v>
      </c>
      <c r="DX136">
        <v>2</v>
      </c>
      <c r="DY136">
        <v>2</v>
      </c>
      <c r="DZ136">
        <v>0</v>
      </c>
      <c r="EA136">
        <v>5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9</v>
      </c>
      <c r="EI136">
        <v>1</v>
      </c>
      <c r="EJ136">
        <v>0</v>
      </c>
      <c r="EK136">
        <v>0</v>
      </c>
      <c r="EL136">
        <v>0</v>
      </c>
      <c r="EM136">
        <v>0</v>
      </c>
      <c r="EN136">
        <v>1</v>
      </c>
      <c r="EO136">
        <v>0</v>
      </c>
      <c r="EP136">
        <v>0</v>
      </c>
      <c r="EQ136">
        <v>0</v>
      </c>
      <c r="ER136">
        <v>0</v>
      </c>
      <c r="ES136">
        <v>0</v>
      </c>
      <c r="ET136">
        <v>1</v>
      </c>
    </row>
    <row r="137" spans="1:150" ht="12.75">
      <c r="A137">
        <v>132</v>
      </c>
      <c r="B137" t="str">
        <f aca="true" t="shared" si="28" ref="B137:B154">"060605"</f>
        <v>060605</v>
      </c>
      <c r="C137" t="str">
        <f aca="true" t="shared" si="29" ref="C137:C154">"Krasnystaw"</f>
        <v>Krasnystaw</v>
      </c>
      <c r="D137" t="str">
        <f t="shared" si="26"/>
        <v>krasnostawski</v>
      </c>
      <c r="E137" t="str">
        <f t="shared" si="27"/>
        <v>lubelskie</v>
      </c>
      <c r="F137">
        <v>1</v>
      </c>
      <c r="G137" t="str">
        <f>"Wiejski Dom Kultury w Niemienicach, Niemienice 57, 22-300 Krasnystaw"</f>
        <v>Wiejski Dom Kultury w Niemienicach, Niemienice 57, 22-300 Krasnystaw</v>
      </c>
      <c r="H137">
        <v>357</v>
      </c>
      <c r="I137">
        <v>357</v>
      </c>
      <c r="J137">
        <v>0</v>
      </c>
      <c r="K137">
        <v>250</v>
      </c>
      <c r="L137">
        <v>222</v>
      </c>
      <c r="M137">
        <v>28</v>
      </c>
      <c r="N137">
        <v>28</v>
      </c>
      <c r="O137">
        <v>0</v>
      </c>
      <c r="P137">
        <v>0</v>
      </c>
      <c r="Q137">
        <v>1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28</v>
      </c>
      <c r="Z137">
        <v>0</v>
      </c>
      <c r="AA137">
        <v>0</v>
      </c>
      <c r="AB137">
        <v>28</v>
      </c>
      <c r="AC137">
        <v>1</v>
      </c>
      <c r="AD137">
        <v>27</v>
      </c>
      <c r="AE137">
        <v>3</v>
      </c>
      <c r="AF137">
        <v>0</v>
      </c>
      <c r="AG137">
        <v>1</v>
      </c>
      <c r="AH137">
        <v>0</v>
      </c>
      <c r="AI137">
        <v>0</v>
      </c>
      <c r="AJ137">
        <v>2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3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1</v>
      </c>
      <c r="BD137">
        <v>1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1</v>
      </c>
      <c r="BO137">
        <v>11</v>
      </c>
      <c r="BP137">
        <v>3</v>
      </c>
      <c r="BQ137">
        <v>0</v>
      </c>
      <c r="BR137">
        <v>8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11</v>
      </c>
      <c r="CA137">
        <v>1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1</v>
      </c>
      <c r="CJ137">
        <v>0</v>
      </c>
      <c r="CK137">
        <v>0</v>
      </c>
      <c r="CL137">
        <v>1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9</v>
      </c>
      <c r="DL137">
        <v>5</v>
      </c>
      <c r="DM137">
        <v>1</v>
      </c>
      <c r="DN137">
        <v>0</v>
      </c>
      <c r="DO137">
        <v>0</v>
      </c>
      <c r="DP137">
        <v>2</v>
      </c>
      <c r="DQ137">
        <v>1</v>
      </c>
      <c r="DR137">
        <v>0</v>
      </c>
      <c r="DS137">
        <v>0</v>
      </c>
      <c r="DT137">
        <v>0</v>
      </c>
      <c r="DU137">
        <v>0</v>
      </c>
      <c r="DV137">
        <v>9</v>
      </c>
      <c r="DW137">
        <v>2</v>
      </c>
      <c r="DX137">
        <v>0</v>
      </c>
      <c r="DY137">
        <v>1</v>
      </c>
      <c r="DZ137">
        <v>0</v>
      </c>
      <c r="EA137">
        <v>1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2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0</v>
      </c>
      <c r="ES137">
        <v>0</v>
      </c>
      <c r="ET137">
        <v>0</v>
      </c>
    </row>
    <row r="138" spans="1:150" ht="12.75">
      <c r="A138">
        <v>133</v>
      </c>
      <c r="B138" t="str">
        <f t="shared" si="28"/>
        <v>060605</v>
      </c>
      <c r="C138" t="str">
        <f t="shared" si="29"/>
        <v>Krasnystaw</v>
      </c>
      <c r="D138" t="str">
        <f t="shared" si="26"/>
        <v>krasnostawski</v>
      </c>
      <c r="E138" t="str">
        <f t="shared" si="27"/>
        <v>lubelskie</v>
      </c>
      <c r="F138">
        <v>2</v>
      </c>
      <c r="G138" t="str">
        <f>"Wiejski Dom Kultury w Niemienicach, Niemienice 57, 22-300 Krasnystaw"</f>
        <v>Wiejski Dom Kultury w Niemienicach, Niemienice 57, 22-300 Krasnystaw</v>
      </c>
      <c r="H138">
        <v>294</v>
      </c>
      <c r="I138">
        <v>294</v>
      </c>
      <c r="J138">
        <v>0</v>
      </c>
      <c r="K138">
        <v>210</v>
      </c>
      <c r="L138">
        <v>169</v>
      </c>
      <c r="M138">
        <v>41</v>
      </c>
      <c r="N138">
        <v>41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41</v>
      </c>
      <c r="Z138">
        <v>0</v>
      </c>
      <c r="AA138">
        <v>0</v>
      </c>
      <c r="AB138">
        <v>41</v>
      </c>
      <c r="AC138">
        <v>0</v>
      </c>
      <c r="AD138">
        <v>41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1</v>
      </c>
      <c r="AR138">
        <v>0</v>
      </c>
      <c r="AS138">
        <v>0</v>
      </c>
      <c r="AT138">
        <v>0</v>
      </c>
      <c r="AU138">
        <v>1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1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16</v>
      </c>
      <c r="BP138">
        <v>7</v>
      </c>
      <c r="BQ138">
        <v>7</v>
      </c>
      <c r="BR138">
        <v>0</v>
      </c>
      <c r="BS138">
        <v>1</v>
      </c>
      <c r="BT138">
        <v>0</v>
      </c>
      <c r="BU138">
        <v>0</v>
      </c>
      <c r="BV138">
        <v>0</v>
      </c>
      <c r="BW138">
        <v>1</v>
      </c>
      <c r="BX138">
        <v>0</v>
      </c>
      <c r="BY138">
        <v>0</v>
      </c>
      <c r="BZ138">
        <v>16</v>
      </c>
      <c r="CA138">
        <v>1</v>
      </c>
      <c r="CB138">
        <v>1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1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10</v>
      </c>
      <c r="DL138">
        <v>3</v>
      </c>
      <c r="DM138">
        <v>0</v>
      </c>
      <c r="DN138">
        <v>0</v>
      </c>
      <c r="DO138">
        <v>0</v>
      </c>
      <c r="DP138">
        <v>7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10</v>
      </c>
      <c r="DW138">
        <v>13</v>
      </c>
      <c r="DX138">
        <v>0</v>
      </c>
      <c r="DY138">
        <v>1</v>
      </c>
      <c r="DZ138">
        <v>0</v>
      </c>
      <c r="EA138">
        <v>12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13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0</v>
      </c>
      <c r="ER138">
        <v>0</v>
      </c>
      <c r="ES138">
        <v>0</v>
      </c>
      <c r="ET138">
        <v>0</v>
      </c>
    </row>
    <row r="139" spans="1:150" ht="12.75">
      <c r="A139">
        <v>134</v>
      </c>
      <c r="B139" t="str">
        <f t="shared" si="28"/>
        <v>060605</v>
      </c>
      <c r="C139" t="str">
        <f t="shared" si="29"/>
        <v>Krasnystaw</v>
      </c>
      <c r="D139" t="str">
        <f t="shared" si="26"/>
        <v>krasnostawski</v>
      </c>
      <c r="E139" t="str">
        <f t="shared" si="27"/>
        <v>lubelskie</v>
      </c>
      <c r="F139">
        <v>3</v>
      </c>
      <c r="G139" t="str">
        <f>"Zespół Nr 3 Przedszkola, Szkoły Podstawowej i Gimnazjum w Krasnymstawie, ul. Krakowskie Przedmiescie 38, Krakowskie Przedmieście 38, 22-300 Krasnystaw"</f>
        <v>Zespół Nr 3 Przedszkola, Szkoły Podstawowej i Gimnazjum w Krasnymstawie, ul. Krakowskie Przedmiescie 38, Krakowskie Przedmieście 38, 22-300 Krasnystaw</v>
      </c>
      <c r="H139">
        <v>359</v>
      </c>
      <c r="I139">
        <v>359</v>
      </c>
      <c r="J139">
        <v>0</v>
      </c>
      <c r="K139">
        <v>260</v>
      </c>
      <c r="L139">
        <v>205</v>
      </c>
      <c r="M139">
        <v>55</v>
      </c>
      <c r="N139">
        <v>55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55</v>
      </c>
      <c r="Z139">
        <v>0</v>
      </c>
      <c r="AA139">
        <v>0</v>
      </c>
      <c r="AB139">
        <v>55</v>
      </c>
      <c r="AC139">
        <v>1</v>
      </c>
      <c r="AD139">
        <v>54</v>
      </c>
      <c r="AE139">
        <v>2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2</v>
      </c>
      <c r="AM139">
        <v>0</v>
      </c>
      <c r="AN139">
        <v>0</v>
      </c>
      <c r="AO139">
        <v>0</v>
      </c>
      <c r="AP139">
        <v>2</v>
      </c>
      <c r="AQ139">
        <v>1</v>
      </c>
      <c r="AR139">
        <v>0</v>
      </c>
      <c r="AS139">
        <v>1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1</v>
      </c>
      <c r="BC139">
        <v>1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1</v>
      </c>
      <c r="BK139">
        <v>0</v>
      </c>
      <c r="BL139">
        <v>0</v>
      </c>
      <c r="BM139">
        <v>0</v>
      </c>
      <c r="BN139">
        <v>1</v>
      </c>
      <c r="BO139">
        <v>15</v>
      </c>
      <c r="BP139">
        <v>8</v>
      </c>
      <c r="BQ139">
        <v>5</v>
      </c>
      <c r="BR139">
        <v>0</v>
      </c>
      <c r="BS139">
        <v>0</v>
      </c>
      <c r="BT139">
        <v>1</v>
      </c>
      <c r="BU139">
        <v>0</v>
      </c>
      <c r="BV139">
        <v>0</v>
      </c>
      <c r="BW139">
        <v>0</v>
      </c>
      <c r="BX139">
        <v>0</v>
      </c>
      <c r="BY139">
        <v>1</v>
      </c>
      <c r="BZ139">
        <v>15</v>
      </c>
      <c r="CA139">
        <v>1</v>
      </c>
      <c r="CB139">
        <v>1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1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7</v>
      </c>
      <c r="CZ139">
        <v>2</v>
      </c>
      <c r="DA139">
        <v>0</v>
      </c>
      <c r="DB139">
        <v>3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2</v>
      </c>
      <c r="DJ139">
        <v>7</v>
      </c>
      <c r="DK139">
        <v>20</v>
      </c>
      <c r="DL139">
        <v>10</v>
      </c>
      <c r="DM139">
        <v>1</v>
      </c>
      <c r="DN139">
        <v>0</v>
      </c>
      <c r="DO139">
        <v>0</v>
      </c>
      <c r="DP139">
        <v>8</v>
      </c>
      <c r="DQ139">
        <v>0</v>
      </c>
      <c r="DR139">
        <v>1</v>
      </c>
      <c r="DS139">
        <v>0</v>
      </c>
      <c r="DT139">
        <v>0</v>
      </c>
      <c r="DU139">
        <v>0</v>
      </c>
      <c r="DV139">
        <v>20</v>
      </c>
      <c r="DW139">
        <v>7</v>
      </c>
      <c r="DX139">
        <v>1</v>
      </c>
      <c r="DY139">
        <v>3</v>
      </c>
      <c r="DZ139">
        <v>0</v>
      </c>
      <c r="EA139">
        <v>1</v>
      </c>
      <c r="EB139">
        <v>0</v>
      </c>
      <c r="EC139">
        <v>0</v>
      </c>
      <c r="ED139">
        <v>0</v>
      </c>
      <c r="EE139">
        <v>1</v>
      </c>
      <c r="EF139">
        <v>1</v>
      </c>
      <c r="EG139">
        <v>0</v>
      </c>
      <c r="EH139">
        <v>7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0</v>
      </c>
      <c r="EP139">
        <v>0</v>
      </c>
      <c r="EQ139">
        <v>0</v>
      </c>
      <c r="ER139">
        <v>0</v>
      </c>
      <c r="ES139">
        <v>0</v>
      </c>
      <c r="ET139">
        <v>0</v>
      </c>
    </row>
    <row r="140" spans="1:150" ht="12.75">
      <c r="A140">
        <v>135</v>
      </c>
      <c r="B140" t="str">
        <f t="shared" si="28"/>
        <v>060605</v>
      </c>
      <c r="C140" t="str">
        <f t="shared" si="29"/>
        <v>Krasnystaw</v>
      </c>
      <c r="D140" t="str">
        <f t="shared" si="26"/>
        <v>krasnostawski</v>
      </c>
      <c r="E140" t="str">
        <f t="shared" si="27"/>
        <v>lubelskie</v>
      </c>
      <c r="F140">
        <v>4</v>
      </c>
      <c r="G140" t="str">
        <f>"Szkoła Podstawowa w Jaślikowie, Jaślików 31, 22-300 Krasnystaw"</f>
        <v>Szkoła Podstawowa w Jaślikowie, Jaślików 31, 22-300 Krasnystaw</v>
      </c>
      <c r="H140">
        <v>444</v>
      </c>
      <c r="I140">
        <v>444</v>
      </c>
      <c r="J140">
        <v>0</v>
      </c>
      <c r="K140">
        <v>310</v>
      </c>
      <c r="L140">
        <v>245</v>
      </c>
      <c r="M140">
        <v>65</v>
      </c>
      <c r="N140">
        <v>65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65</v>
      </c>
      <c r="Z140">
        <v>0</v>
      </c>
      <c r="AA140">
        <v>0</v>
      </c>
      <c r="AB140">
        <v>65</v>
      </c>
      <c r="AC140">
        <v>0</v>
      </c>
      <c r="AD140">
        <v>65</v>
      </c>
      <c r="AE140">
        <v>2</v>
      </c>
      <c r="AF140">
        <v>1</v>
      </c>
      <c r="AG140">
        <v>0</v>
      </c>
      <c r="AH140">
        <v>0</v>
      </c>
      <c r="AI140">
        <v>1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2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33</v>
      </c>
      <c r="BP140">
        <v>6</v>
      </c>
      <c r="BQ140">
        <v>16</v>
      </c>
      <c r="BR140">
        <v>1</v>
      </c>
      <c r="BS140">
        <v>3</v>
      </c>
      <c r="BT140">
        <v>1</v>
      </c>
      <c r="BU140">
        <v>0</v>
      </c>
      <c r="BV140">
        <v>1</v>
      </c>
      <c r="BW140">
        <v>0</v>
      </c>
      <c r="BX140">
        <v>4</v>
      </c>
      <c r="BY140">
        <v>1</v>
      </c>
      <c r="BZ140">
        <v>33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2</v>
      </c>
      <c r="CN140">
        <v>2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2</v>
      </c>
      <c r="CY140">
        <v>2</v>
      </c>
      <c r="CZ140">
        <v>2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2</v>
      </c>
      <c r="DK140">
        <v>4</v>
      </c>
      <c r="DL140">
        <v>2</v>
      </c>
      <c r="DM140">
        <v>0</v>
      </c>
      <c r="DN140">
        <v>0</v>
      </c>
      <c r="DO140">
        <v>0</v>
      </c>
      <c r="DP140">
        <v>2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4</v>
      </c>
      <c r="DW140">
        <v>22</v>
      </c>
      <c r="DX140">
        <v>3</v>
      </c>
      <c r="DY140">
        <v>7</v>
      </c>
      <c r="DZ140">
        <v>0</v>
      </c>
      <c r="EA140">
        <v>12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22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0</v>
      </c>
      <c r="ES140">
        <v>0</v>
      </c>
      <c r="ET140">
        <v>0</v>
      </c>
    </row>
    <row r="141" spans="1:150" ht="12.75">
      <c r="A141">
        <v>136</v>
      </c>
      <c r="B141" t="str">
        <f t="shared" si="28"/>
        <v>060605</v>
      </c>
      <c r="C141" t="str">
        <f t="shared" si="29"/>
        <v>Krasnystaw</v>
      </c>
      <c r="D141" t="str">
        <f t="shared" si="26"/>
        <v>krasnostawski</v>
      </c>
      <c r="E141" t="str">
        <f t="shared" si="27"/>
        <v>lubelskie</v>
      </c>
      <c r="F141">
        <v>5</v>
      </c>
      <c r="G141" t="str">
        <f>"Gimnazjum Nr 2 w Zakręciu, Zakręcie 124D, 22-300 Krasnystaw"</f>
        <v>Gimnazjum Nr 2 w Zakręciu, Zakręcie 124D, 22-300 Krasnystaw</v>
      </c>
      <c r="H141">
        <v>393</v>
      </c>
      <c r="I141">
        <v>393</v>
      </c>
      <c r="J141">
        <v>0</v>
      </c>
      <c r="K141">
        <v>280</v>
      </c>
      <c r="L141">
        <v>203</v>
      </c>
      <c r="M141">
        <v>77</v>
      </c>
      <c r="N141">
        <v>77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77</v>
      </c>
      <c r="Z141">
        <v>0</v>
      </c>
      <c r="AA141">
        <v>0</v>
      </c>
      <c r="AB141">
        <v>77</v>
      </c>
      <c r="AC141">
        <v>0</v>
      </c>
      <c r="AD141">
        <v>77</v>
      </c>
      <c r="AE141">
        <v>3</v>
      </c>
      <c r="AF141">
        <v>1</v>
      </c>
      <c r="AG141">
        <v>0</v>
      </c>
      <c r="AH141">
        <v>0</v>
      </c>
      <c r="AI141">
        <v>0</v>
      </c>
      <c r="AJ141">
        <v>1</v>
      </c>
      <c r="AK141">
        <v>1</v>
      </c>
      <c r="AL141">
        <v>0</v>
      </c>
      <c r="AM141">
        <v>0</v>
      </c>
      <c r="AN141">
        <v>0</v>
      </c>
      <c r="AO141">
        <v>0</v>
      </c>
      <c r="AP141">
        <v>3</v>
      </c>
      <c r="AQ141">
        <v>1</v>
      </c>
      <c r="AR141">
        <v>1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1</v>
      </c>
      <c r="BC141">
        <v>9</v>
      </c>
      <c r="BD141">
        <v>5</v>
      </c>
      <c r="BE141">
        <v>1</v>
      </c>
      <c r="BF141">
        <v>1</v>
      </c>
      <c r="BG141">
        <v>0</v>
      </c>
      <c r="BH141">
        <v>2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9</v>
      </c>
      <c r="BO141">
        <v>35</v>
      </c>
      <c r="BP141">
        <v>13</v>
      </c>
      <c r="BQ141">
        <v>16</v>
      </c>
      <c r="BR141">
        <v>3</v>
      </c>
      <c r="BS141">
        <v>0</v>
      </c>
      <c r="BT141">
        <v>0</v>
      </c>
      <c r="BU141">
        <v>0</v>
      </c>
      <c r="BV141">
        <v>0</v>
      </c>
      <c r="BW141">
        <v>1</v>
      </c>
      <c r="BX141">
        <v>0</v>
      </c>
      <c r="BY141">
        <v>2</v>
      </c>
      <c r="BZ141">
        <v>35</v>
      </c>
      <c r="CA141">
        <v>4</v>
      </c>
      <c r="CB141">
        <v>4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4</v>
      </c>
      <c r="CM141">
        <v>1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1</v>
      </c>
      <c r="CX141">
        <v>1</v>
      </c>
      <c r="CY141">
        <v>3</v>
      </c>
      <c r="CZ141">
        <v>2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1</v>
      </c>
      <c r="DJ141">
        <v>3</v>
      </c>
      <c r="DK141">
        <v>11</v>
      </c>
      <c r="DL141">
        <v>3</v>
      </c>
      <c r="DM141">
        <v>5</v>
      </c>
      <c r="DN141">
        <v>1</v>
      </c>
      <c r="DO141">
        <v>0</v>
      </c>
      <c r="DP141">
        <v>2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11</v>
      </c>
      <c r="DW141">
        <v>9</v>
      </c>
      <c r="DX141">
        <v>2</v>
      </c>
      <c r="DY141">
        <v>1</v>
      </c>
      <c r="DZ141">
        <v>0</v>
      </c>
      <c r="EA141">
        <v>5</v>
      </c>
      <c r="EB141">
        <v>1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9</v>
      </c>
      <c r="EI141">
        <v>1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1</v>
      </c>
      <c r="ER141">
        <v>0</v>
      </c>
      <c r="ES141">
        <v>0</v>
      </c>
      <c r="ET141">
        <v>1</v>
      </c>
    </row>
    <row r="142" spans="1:150" ht="12.75">
      <c r="A142">
        <v>137</v>
      </c>
      <c r="B142" t="str">
        <f t="shared" si="28"/>
        <v>060605</v>
      </c>
      <c r="C142" t="str">
        <f t="shared" si="29"/>
        <v>Krasnystaw</v>
      </c>
      <c r="D142" t="str">
        <f t="shared" si="26"/>
        <v>krasnostawski</v>
      </c>
      <c r="E142" t="str">
        <f t="shared" si="27"/>
        <v>lubelskie</v>
      </c>
      <c r="F142">
        <v>6</v>
      </c>
      <c r="G142" t="str">
        <f>"Punkt Przedszkolny w Stężycy-Kolonii, Stężyca-Kolonia 85, 22-300 Krasnystaw"</f>
        <v>Punkt Przedszkolny w Stężycy-Kolonii, Stężyca-Kolonia 85, 22-300 Krasnystaw</v>
      </c>
      <c r="H142">
        <v>593</v>
      </c>
      <c r="I142">
        <v>593</v>
      </c>
      <c r="J142">
        <v>0</v>
      </c>
      <c r="K142">
        <v>410</v>
      </c>
      <c r="L142">
        <v>316</v>
      </c>
      <c r="M142">
        <v>94</v>
      </c>
      <c r="N142">
        <v>94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94</v>
      </c>
      <c r="Z142">
        <v>0</v>
      </c>
      <c r="AA142">
        <v>0</v>
      </c>
      <c r="AB142">
        <v>94</v>
      </c>
      <c r="AC142">
        <v>1</v>
      </c>
      <c r="AD142">
        <v>93</v>
      </c>
      <c r="AE142">
        <v>2</v>
      </c>
      <c r="AF142">
        <v>1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1</v>
      </c>
      <c r="AP142">
        <v>2</v>
      </c>
      <c r="AQ142">
        <v>2</v>
      </c>
      <c r="AR142">
        <v>0</v>
      </c>
      <c r="AS142">
        <v>1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1</v>
      </c>
      <c r="BB142">
        <v>2</v>
      </c>
      <c r="BC142">
        <v>3</v>
      </c>
      <c r="BD142">
        <v>2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1</v>
      </c>
      <c r="BN142">
        <v>3</v>
      </c>
      <c r="BO142">
        <v>38</v>
      </c>
      <c r="BP142">
        <v>6</v>
      </c>
      <c r="BQ142">
        <v>18</v>
      </c>
      <c r="BR142">
        <v>10</v>
      </c>
      <c r="BS142">
        <v>4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38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3</v>
      </c>
      <c r="CN142">
        <v>2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1</v>
      </c>
      <c r="CX142">
        <v>3</v>
      </c>
      <c r="CY142">
        <v>3</v>
      </c>
      <c r="CZ142">
        <v>2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1</v>
      </c>
      <c r="DJ142">
        <v>3</v>
      </c>
      <c r="DK142">
        <v>6</v>
      </c>
      <c r="DL142">
        <v>3</v>
      </c>
      <c r="DM142">
        <v>0</v>
      </c>
      <c r="DN142">
        <v>0</v>
      </c>
      <c r="DO142">
        <v>0</v>
      </c>
      <c r="DP142">
        <v>2</v>
      </c>
      <c r="DQ142">
        <v>0</v>
      </c>
      <c r="DR142">
        <v>0</v>
      </c>
      <c r="DS142">
        <v>0</v>
      </c>
      <c r="DT142">
        <v>1</v>
      </c>
      <c r="DU142">
        <v>0</v>
      </c>
      <c r="DV142">
        <v>6</v>
      </c>
      <c r="DW142">
        <v>36</v>
      </c>
      <c r="DX142">
        <v>5</v>
      </c>
      <c r="DY142">
        <v>13</v>
      </c>
      <c r="DZ142">
        <v>3</v>
      </c>
      <c r="EA142">
        <v>15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36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0</v>
      </c>
      <c r="ES142">
        <v>0</v>
      </c>
      <c r="ET142">
        <v>0</v>
      </c>
    </row>
    <row r="143" spans="1:150" ht="12.75">
      <c r="A143">
        <v>138</v>
      </c>
      <c r="B143" t="str">
        <f t="shared" si="28"/>
        <v>060605</v>
      </c>
      <c r="C143" t="str">
        <f t="shared" si="29"/>
        <v>Krasnystaw</v>
      </c>
      <c r="D143" t="str">
        <f t="shared" si="26"/>
        <v>krasnostawski</v>
      </c>
      <c r="E143" t="str">
        <f t="shared" si="27"/>
        <v>lubelskie</v>
      </c>
      <c r="F143">
        <v>7</v>
      </c>
      <c r="G143" t="str">
        <f>"Remiza OSP w Latyczowie, Latyczów 143, 22-300 Krasnystaw"</f>
        <v>Remiza OSP w Latyczowie, Latyczów 143, 22-300 Krasnystaw</v>
      </c>
      <c r="H143">
        <v>495</v>
      </c>
      <c r="I143">
        <v>495</v>
      </c>
      <c r="J143">
        <v>0</v>
      </c>
      <c r="K143">
        <v>300</v>
      </c>
      <c r="L143">
        <v>186</v>
      </c>
      <c r="M143">
        <v>114</v>
      </c>
      <c r="N143">
        <v>114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114</v>
      </c>
      <c r="Z143">
        <v>0</v>
      </c>
      <c r="AA143">
        <v>0</v>
      </c>
      <c r="AB143">
        <v>114</v>
      </c>
      <c r="AC143">
        <v>6</v>
      </c>
      <c r="AD143">
        <v>108</v>
      </c>
      <c r="AE143">
        <v>8</v>
      </c>
      <c r="AF143">
        <v>0</v>
      </c>
      <c r="AG143">
        <v>0</v>
      </c>
      <c r="AH143">
        <v>0</v>
      </c>
      <c r="AI143">
        <v>0</v>
      </c>
      <c r="AJ143">
        <v>8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8</v>
      </c>
      <c r="AQ143">
        <v>1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1</v>
      </c>
      <c r="AX143">
        <v>0</v>
      </c>
      <c r="AY143">
        <v>0</v>
      </c>
      <c r="AZ143">
        <v>0</v>
      </c>
      <c r="BA143">
        <v>0</v>
      </c>
      <c r="BB143">
        <v>1</v>
      </c>
      <c r="BC143">
        <v>6</v>
      </c>
      <c r="BD143">
        <v>1</v>
      </c>
      <c r="BE143">
        <v>1</v>
      </c>
      <c r="BF143">
        <v>0</v>
      </c>
      <c r="BG143">
        <v>1</v>
      </c>
      <c r="BH143">
        <v>2</v>
      </c>
      <c r="BI143">
        <v>0</v>
      </c>
      <c r="BJ143">
        <v>0</v>
      </c>
      <c r="BK143">
        <v>1</v>
      </c>
      <c r="BL143">
        <v>0</v>
      </c>
      <c r="BM143">
        <v>0</v>
      </c>
      <c r="BN143">
        <v>6</v>
      </c>
      <c r="BO143">
        <v>42</v>
      </c>
      <c r="BP143">
        <v>8</v>
      </c>
      <c r="BQ143">
        <v>17</v>
      </c>
      <c r="BR143">
        <v>10</v>
      </c>
      <c r="BS143">
        <v>6</v>
      </c>
      <c r="BT143">
        <v>0</v>
      </c>
      <c r="BU143">
        <v>0</v>
      </c>
      <c r="BV143">
        <v>0</v>
      </c>
      <c r="BW143">
        <v>1</v>
      </c>
      <c r="BX143">
        <v>0</v>
      </c>
      <c r="BY143">
        <v>0</v>
      </c>
      <c r="BZ143">
        <v>42</v>
      </c>
      <c r="CA143">
        <v>2</v>
      </c>
      <c r="CB143">
        <v>2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2</v>
      </c>
      <c r="CM143">
        <v>1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1</v>
      </c>
      <c r="CW143">
        <v>0</v>
      </c>
      <c r="CX143">
        <v>1</v>
      </c>
      <c r="CY143">
        <v>4</v>
      </c>
      <c r="CZ143">
        <v>0</v>
      </c>
      <c r="DA143">
        <v>0</v>
      </c>
      <c r="DB143">
        <v>2</v>
      </c>
      <c r="DC143">
        <v>1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1</v>
      </c>
      <c r="DJ143">
        <v>4</v>
      </c>
      <c r="DK143">
        <v>15</v>
      </c>
      <c r="DL143">
        <v>1</v>
      </c>
      <c r="DM143">
        <v>0</v>
      </c>
      <c r="DN143">
        <v>0</v>
      </c>
      <c r="DO143">
        <v>0</v>
      </c>
      <c r="DP143">
        <v>14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15</v>
      </c>
      <c r="DW143">
        <v>25</v>
      </c>
      <c r="DX143">
        <v>3</v>
      </c>
      <c r="DY143">
        <v>8</v>
      </c>
      <c r="DZ143">
        <v>0</v>
      </c>
      <c r="EA143">
        <v>13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1</v>
      </c>
      <c r="EH143">
        <v>25</v>
      </c>
      <c r="EI143">
        <v>4</v>
      </c>
      <c r="EJ143">
        <v>0</v>
      </c>
      <c r="EK143">
        <v>0</v>
      </c>
      <c r="EL143">
        <v>0</v>
      </c>
      <c r="EM143">
        <v>3</v>
      </c>
      <c r="EN143">
        <v>0</v>
      </c>
      <c r="EO143">
        <v>0</v>
      </c>
      <c r="EP143">
        <v>0</v>
      </c>
      <c r="EQ143">
        <v>0</v>
      </c>
      <c r="ER143">
        <v>0</v>
      </c>
      <c r="ES143">
        <v>1</v>
      </c>
      <c r="ET143">
        <v>4</v>
      </c>
    </row>
    <row r="144" spans="1:150" ht="12.75">
      <c r="A144">
        <v>139</v>
      </c>
      <c r="B144" t="str">
        <f t="shared" si="28"/>
        <v>060605</v>
      </c>
      <c r="C144" t="str">
        <f t="shared" si="29"/>
        <v>Krasnystaw</v>
      </c>
      <c r="D144" t="str">
        <f t="shared" si="26"/>
        <v>krasnostawski</v>
      </c>
      <c r="E144" t="str">
        <f t="shared" si="27"/>
        <v>lubelskie</v>
      </c>
      <c r="F144">
        <v>8</v>
      </c>
      <c r="G144" t="str">
        <f>"Zespół Nr 5 Gimnazjum i Szkoły Podstawowej w Krupem, Krupe 89, 22-302 Siennica Nadolna"</f>
        <v>Zespół Nr 5 Gimnazjum i Szkoły Podstawowej w Krupem, Krupe 89, 22-302 Siennica Nadolna</v>
      </c>
      <c r="H144">
        <v>574</v>
      </c>
      <c r="I144">
        <v>574</v>
      </c>
      <c r="J144">
        <v>0</v>
      </c>
      <c r="K144">
        <v>400</v>
      </c>
      <c r="L144">
        <v>316</v>
      </c>
      <c r="M144">
        <v>84</v>
      </c>
      <c r="N144">
        <v>84</v>
      </c>
      <c r="O144">
        <v>0</v>
      </c>
      <c r="P144">
        <v>0</v>
      </c>
      <c r="Q144">
        <v>1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84</v>
      </c>
      <c r="Z144">
        <v>0</v>
      </c>
      <c r="AA144">
        <v>0</v>
      </c>
      <c r="AB144">
        <v>84</v>
      </c>
      <c r="AC144">
        <v>5</v>
      </c>
      <c r="AD144">
        <v>79</v>
      </c>
      <c r="AE144">
        <v>6</v>
      </c>
      <c r="AF144">
        <v>0</v>
      </c>
      <c r="AG144">
        <v>0</v>
      </c>
      <c r="AH144">
        <v>1</v>
      </c>
      <c r="AI144">
        <v>0</v>
      </c>
      <c r="AJ144">
        <v>4</v>
      </c>
      <c r="AK144">
        <v>0</v>
      </c>
      <c r="AL144">
        <v>1</v>
      </c>
      <c r="AM144">
        <v>0</v>
      </c>
      <c r="AN144">
        <v>0</v>
      </c>
      <c r="AO144">
        <v>0</v>
      </c>
      <c r="AP144">
        <v>6</v>
      </c>
      <c r="AQ144">
        <v>2</v>
      </c>
      <c r="AR144">
        <v>1</v>
      </c>
      <c r="AS144">
        <v>1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2</v>
      </c>
      <c r="BC144">
        <v>1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1</v>
      </c>
      <c r="BM144">
        <v>0</v>
      </c>
      <c r="BN144">
        <v>1</v>
      </c>
      <c r="BO144">
        <v>31</v>
      </c>
      <c r="BP144">
        <v>7</v>
      </c>
      <c r="BQ144">
        <v>8</v>
      </c>
      <c r="BR144">
        <v>6</v>
      </c>
      <c r="BS144">
        <v>5</v>
      </c>
      <c r="BT144">
        <v>1</v>
      </c>
      <c r="BU144">
        <v>1</v>
      </c>
      <c r="BV144">
        <v>0</v>
      </c>
      <c r="BW144">
        <v>3</v>
      </c>
      <c r="BX144">
        <v>0</v>
      </c>
      <c r="BY144">
        <v>0</v>
      </c>
      <c r="BZ144">
        <v>31</v>
      </c>
      <c r="CA144">
        <v>1</v>
      </c>
      <c r="CB144">
        <v>1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1</v>
      </c>
      <c r="CM144">
        <v>2</v>
      </c>
      <c r="CN144">
        <v>2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2</v>
      </c>
      <c r="CY144">
        <v>2</v>
      </c>
      <c r="CZ144">
        <v>1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1</v>
      </c>
      <c r="DJ144">
        <v>2</v>
      </c>
      <c r="DK144">
        <v>13</v>
      </c>
      <c r="DL144">
        <v>0</v>
      </c>
      <c r="DM144">
        <v>0</v>
      </c>
      <c r="DN144">
        <v>0</v>
      </c>
      <c r="DO144">
        <v>0</v>
      </c>
      <c r="DP144">
        <v>11</v>
      </c>
      <c r="DQ144">
        <v>2</v>
      </c>
      <c r="DR144">
        <v>0</v>
      </c>
      <c r="DS144">
        <v>0</v>
      </c>
      <c r="DT144">
        <v>0</v>
      </c>
      <c r="DU144">
        <v>0</v>
      </c>
      <c r="DV144">
        <v>13</v>
      </c>
      <c r="DW144">
        <v>21</v>
      </c>
      <c r="DX144">
        <v>0</v>
      </c>
      <c r="DY144">
        <v>8</v>
      </c>
      <c r="DZ144">
        <v>0</v>
      </c>
      <c r="EA144">
        <v>13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21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0</v>
      </c>
      <c r="ES144">
        <v>0</v>
      </c>
      <c r="ET144">
        <v>0</v>
      </c>
    </row>
    <row r="145" spans="1:150" ht="12.75">
      <c r="A145">
        <v>140</v>
      </c>
      <c r="B145" t="str">
        <f t="shared" si="28"/>
        <v>060605</v>
      </c>
      <c r="C145" t="str">
        <f t="shared" si="29"/>
        <v>Krasnystaw</v>
      </c>
      <c r="D145" t="str">
        <f t="shared" si="26"/>
        <v>krasnostawski</v>
      </c>
      <c r="E145" t="str">
        <f t="shared" si="27"/>
        <v>lubelskie</v>
      </c>
      <c r="F145">
        <v>9</v>
      </c>
      <c r="G145" t="str">
        <f>"Remiza OSP w Czarnoziemi, Czarnoziem 36, 22-302 Siennica Nadolna"</f>
        <v>Remiza OSP w Czarnoziemi, Czarnoziem 36, 22-302 Siennica Nadolna</v>
      </c>
      <c r="H145">
        <v>260</v>
      </c>
      <c r="I145">
        <v>260</v>
      </c>
      <c r="J145">
        <v>0</v>
      </c>
      <c r="K145">
        <v>180</v>
      </c>
      <c r="L145">
        <v>132</v>
      </c>
      <c r="M145">
        <v>48</v>
      </c>
      <c r="N145">
        <v>48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48</v>
      </c>
      <c r="Z145">
        <v>0</v>
      </c>
      <c r="AA145">
        <v>0</v>
      </c>
      <c r="AB145">
        <v>48</v>
      </c>
      <c r="AC145">
        <v>3</v>
      </c>
      <c r="AD145">
        <v>45</v>
      </c>
      <c r="AE145">
        <v>5</v>
      </c>
      <c r="AF145">
        <v>0</v>
      </c>
      <c r="AG145">
        <v>0</v>
      </c>
      <c r="AH145">
        <v>0</v>
      </c>
      <c r="AI145">
        <v>0</v>
      </c>
      <c r="AJ145">
        <v>5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5</v>
      </c>
      <c r="AQ145">
        <v>1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1</v>
      </c>
      <c r="AZ145">
        <v>0</v>
      </c>
      <c r="BA145">
        <v>0</v>
      </c>
      <c r="BB145">
        <v>1</v>
      </c>
      <c r="BC145">
        <v>2</v>
      </c>
      <c r="BD145">
        <v>2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2</v>
      </c>
      <c r="BO145">
        <v>9</v>
      </c>
      <c r="BP145">
        <v>2</v>
      </c>
      <c r="BQ145">
        <v>5</v>
      </c>
      <c r="BR145">
        <v>1</v>
      </c>
      <c r="BS145">
        <v>0</v>
      </c>
      <c r="BT145">
        <v>0</v>
      </c>
      <c r="BU145">
        <v>0</v>
      </c>
      <c r="BV145">
        <v>0</v>
      </c>
      <c r="BW145">
        <v>1</v>
      </c>
      <c r="BX145">
        <v>0</v>
      </c>
      <c r="BY145">
        <v>0</v>
      </c>
      <c r="BZ145">
        <v>9</v>
      </c>
      <c r="CA145">
        <v>1</v>
      </c>
      <c r="CB145">
        <v>1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1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1</v>
      </c>
      <c r="CZ145">
        <v>0</v>
      </c>
      <c r="DA145">
        <v>0</v>
      </c>
      <c r="DB145">
        <v>1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1</v>
      </c>
      <c r="DK145">
        <v>5</v>
      </c>
      <c r="DL145">
        <v>0</v>
      </c>
      <c r="DM145">
        <v>0</v>
      </c>
      <c r="DN145">
        <v>1</v>
      </c>
      <c r="DO145">
        <v>1</v>
      </c>
      <c r="DP145">
        <v>1</v>
      </c>
      <c r="DQ145">
        <v>2</v>
      </c>
      <c r="DR145">
        <v>0</v>
      </c>
      <c r="DS145">
        <v>0</v>
      </c>
      <c r="DT145">
        <v>0</v>
      </c>
      <c r="DU145">
        <v>0</v>
      </c>
      <c r="DV145">
        <v>5</v>
      </c>
      <c r="DW145">
        <v>21</v>
      </c>
      <c r="DX145">
        <v>0</v>
      </c>
      <c r="DY145">
        <v>2</v>
      </c>
      <c r="DZ145">
        <v>0</v>
      </c>
      <c r="EA145">
        <v>19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21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</row>
    <row r="146" spans="1:150" ht="12.75">
      <c r="A146">
        <v>141</v>
      </c>
      <c r="B146" t="str">
        <f t="shared" si="28"/>
        <v>060605</v>
      </c>
      <c r="C146" t="str">
        <f t="shared" si="29"/>
        <v>Krasnystaw</v>
      </c>
      <c r="D146" t="str">
        <f t="shared" si="26"/>
        <v>krasnostawski</v>
      </c>
      <c r="E146" t="str">
        <f t="shared" si="27"/>
        <v>lubelskie</v>
      </c>
      <c r="F146">
        <v>10</v>
      </c>
      <c r="G146" t="str">
        <f>"Remiza OSP w Ostrowie Krupskim, Ostrów Krupski 56, 22-302 Siennica Nadolna"</f>
        <v>Remiza OSP w Ostrowie Krupskim, Ostrów Krupski 56, 22-302 Siennica Nadolna</v>
      </c>
      <c r="H146">
        <v>254</v>
      </c>
      <c r="I146">
        <v>254</v>
      </c>
      <c r="J146">
        <v>0</v>
      </c>
      <c r="K146">
        <v>160</v>
      </c>
      <c r="L146">
        <v>130</v>
      </c>
      <c r="M146">
        <v>30</v>
      </c>
      <c r="N146">
        <v>30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30</v>
      </c>
      <c r="Z146">
        <v>0</v>
      </c>
      <c r="AA146">
        <v>0</v>
      </c>
      <c r="AB146">
        <v>30</v>
      </c>
      <c r="AC146">
        <v>0</v>
      </c>
      <c r="AD146">
        <v>30</v>
      </c>
      <c r="AE146">
        <v>3</v>
      </c>
      <c r="AF146">
        <v>2</v>
      </c>
      <c r="AG146">
        <v>1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3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8</v>
      </c>
      <c r="BP146">
        <v>6</v>
      </c>
      <c r="BQ146">
        <v>1</v>
      </c>
      <c r="BR146">
        <v>0</v>
      </c>
      <c r="BS146">
        <v>1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8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2</v>
      </c>
      <c r="CN146">
        <v>2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2</v>
      </c>
      <c r="CY146">
        <v>3</v>
      </c>
      <c r="CZ146">
        <v>1</v>
      </c>
      <c r="DA146">
        <v>0</v>
      </c>
      <c r="DB146">
        <v>2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3</v>
      </c>
      <c r="DK146">
        <v>4</v>
      </c>
      <c r="DL146">
        <v>0</v>
      </c>
      <c r="DM146">
        <v>0</v>
      </c>
      <c r="DN146">
        <v>0</v>
      </c>
      <c r="DO146">
        <v>0</v>
      </c>
      <c r="DP146">
        <v>4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4</v>
      </c>
      <c r="DW146">
        <v>10</v>
      </c>
      <c r="DX146">
        <v>0</v>
      </c>
      <c r="DY146">
        <v>4</v>
      </c>
      <c r="DZ146">
        <v>0</v>
      </c>
      <c r="EA146">
        <v>6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10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0</v>
      </c>
      <c r="EQ146">
        <v>0</v>
      </c>
      <c r="ER146">
        <v>0</v>
      </c>
      <c r="ES146">
        <v>0</v>
      </c>
      <c r="ET146">
        <v>0</v>
      </c>
    </row>
    <row r="147" spans="1:150" ht="12.75">
      <c r="A147">
        <v>142</v>
      </c>
      <c r="B147" t="str">
        <f t="shared" si="28"/>
        <v>060605</v>
      </c>
      <c r="C147" t="str">
        <f t="shared" si="29"/>
        <v>Krasnystaw</v>
      </c>
      <c r="D147" t="str">
        <f t="shared" si="26"/>
        <v>krasnostawski</v>
      </c>
      <c r="E147" t="str">
        <f t="shared" si="27"/>
        <v>lubelskie</v>
      </c>
      <c r="F147">
        <v>11</v>
      </c>
      <c r="G147" t="str">
        <f>"Wiejski Dom Kultury w Bzitem, Bzite 127A, 22-302 Siennica Nadolna"</f>
        <v>Wiejski Dom Kultury w Bzitem, Bzite 127A, 22-302 Siennica Nadolna</v>
      </c>
      <c r="H147">
        <v>411</v>
      </c>
      <c r="I147">
        <v>411</v>
      </c>
      <c r="J147">
        <v>0</v>
      </c>
      <c r="K147">
        <v>290</v>
      </c>
      <c r="L147">
        <v>216</v>
      </c>
      <c r="M147">
        <v>74</v>
      </c>
      <c r="N147">
        <v>74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74</v>
      </c>
      <c r="Z147">
        <v>0</v>
      </c>
      <c r="AA147">
        <v>0</v>
      </c>
      <c r="AB147">
        <v>74</v>
      </c>
      <c r="AC147">
        <v>3</v>
      </c>
      <c r="AD147">
        <v>71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3</v>
      </c>
      <c r="AR147">
        <v>2</v>
      </c>
      <c r="AS147">
        <v>0</v>
      </c>
      <c r="AT147">
        <v>0</v>
      </c>
      <c r="AU147">
        <v>0</v>
      </c>
      <c r="AV147">
        <v>1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3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32</v>
      </c>
      <c r="BP147">
        <v>11</v>
      </c>
      <c r="BQ147">
        <v>6</v>
      </c>
      <c r="BR147">
        <v>6</v>
      </c>
      <c r="BS147">
        <v>5</v>
      </c>
      <c r="BT147">
        <v>1</v>
      </c>
      <c r="BU147">
        <v>0</v>
      </c>
      <c r="BV147">
        <v>0</v>
      </c>
      <c r="BW147">
        <v>2</v>
      </c>
      <c r="BX147">
        <v>0</v>
      </c>
      <c r="BY147">
        <v>1</v>
      </c>
      <c r="BZ147">
        <v>32</v>
      </c>
      <c r="CA147">
        <v>3</v>
      </c>
      <c r="CB147">
        <v>2</v>
      </c>
      <c r="CC147">
        <v>0</v>
      </c>
      <c r="CD147">
        <v>0</v>
      </c>
      <c r="CE147">
        <v>0</v>
      </c>
      <c r="CF147">
        <v>0</v>
      </c>
      <c r="CG147">
        <v>1</v>
      </c>
      <c r="CH147">
        <v>0</v>
      </c>
      <c r="CI147">
        <v>0</v>
      </c>
      <c r="CJ147">
        <v>0</v>
      </c>
      <c r="CK147">
        <v>0</v>
      </c>
      <c r="CL147">
        <v>3</v>
      </c>
      <c r="CM147">
        <v>1</v>
      </c>
      <c r="CN147">
        <v>0</v>
      </c>
      <c r="CO147">
        <v>0</v>
      </c>
      <c r="CP147">
        <v>0</v>
      </c>
      <c r="CQ147">
        <v>1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1</v>
      </c>
      <c r="CY147">
        <v>7</v>
      </c>
      <c r="CZ147">
        <v>1</v>
      </c>
      <c r="DA147">
        <v>0</v>
      </c>
      <c r="DB147">
        <v>0</v>
      </c>
      <c r="DC147">
        <v>0</v>
      </c>
      <c r="DD147">
        <v>1</v>
      </c>
      <c r="DE147">
        <v>0</v>
      </c>
      <c r="DF147">
        <v>0</v>
      </c>
      <c r="DG147">
        <v>1</v>
      </c>
      <c r="DH147">
        <v>0</v>
      </c>
      <c r="DI147">
        <v>4</v>
      </c>
      <c r="DJ147">
        <v>7</v>
      </c>
      <c r="DK147">
        <v>7</v>
      </c>
      <c r="DL147">
        <v>3</v>
      </c>
      <c r="DM147">
        <v>1</v>
      </c>
      <c r="DN147">
        <v>0</v>
      </c>
      <c r="DO147">
        <v>0</v>
      </c>
      <c r="DP147">
        <v>2</v>
      </c>
      <c r="DQ147">
        <v>1</v>
      </c>
      <c r="DR147">
        <v>0</v>
      </c>
      <c r="DS147">
        <v>0</v>
      </c>
      <c r="DT147">
        <v>0</v>
      </c>
      <c r="DU147">
        <v>0</v>
      </c>
      <c r="DV147">
        <v>7</v>
      </c>
      <c r="DW147">
        <v>18</v>
      </c>
      <c r="DX147">
        <v>4</v>
      </c>
      <c r="DY147">
        <v>2</v>
      </c>
      <c r="DZ147">
        <v>0</v>
      </c>
      <c r="EA147">
        <v>11</v>
      </c>
      <c r="EB147">
        <v>0</v>
      </c>
      <c r="EC147">
        <v>0</v>
      </c>
      <c r="ED147">
        <v>0</v>
      </c>
      <c r="EE147">
        <v>0</v>
      </c>
      <c r="EF147">
        <v>1</v>
      </c>
      <c r="EG147">
        <v>0</v>
      </c>
      <c r="EH147">
        <v>18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0</v>
      </c>
      <c r="ES147">
        <v>0</v>
      </c>
      <c r="ET147">
        <v>0</v>
      </c>
    </row>
    <row r="148" spans="1:150" ht="12.75">
      <c r="A148">
        <v>143</v>
      </c>
      <c r="B148" t="str">
        <f t="shared" si="28"/>
        <v>060605</v>
      </c>
      <c r="C148" t="str">
        <f t="shared" si="29"/>
        <v>Krasnystaw</v>
      </c>
      <c r="D148" t="str">
        <f t="shared" si="26"/>
        <v>krasnostawski</v>
      </c>
      <c r="E148" t="str">
        <f t="shared" si="27"/>
        <v>lubelskie</v>
      </c>
      <c r="F148">
        <v>12</v>
      </c>
      <c r="G148" t="str">
        <f>"Świetlica Wiejska w Wincentowie, Wincentów 3, 22-302 Siennica Nadolna"</f>
        <v>Świetlica Wiejska w Wincentowie, Wincentów 3, 22-302 Siennica Nadolna</v>
      </c>
      <c r="H148">
        <v>219</v>
      </c>
      <c r="I148">
        <v>219</v>
      </c>
      <c r="J148">
        <v>0</v>
      </c>
      <c r="K148">
        <v>150</v>
      </c>
      <c r="L148">
        <v>122</v>
      </c>
      <c r="M148">
        <v>28</v>
      </c>
      <c r="N148">
        <v>28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28</v>
      </c>
      <c r="Z148">
        <v>0</v>
      </c>
      <c r="AA148">
        <v>0</v>
      </c>
      <c r="AB148">
        <v>28</v>
      </c>
      <c r="AC148">
        <v>2</v>
      </c>
      <c r="AD148">
        <v>26</v>
      </c>
      <c r="AE148">
        <v>2</v>
      </c>
      <c r="AF148">
        <v>0</v>
      </c>
      <c r="AG148">
        <v>0</v>
      </c>
      <c r="AH148">
        <v>0</v>
      </c>
      <c r="AI148">
        <v>0</v>
      </c>
      <c r="AJ148">
        <v>2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2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2</v>
      </c>
      <c r="BP148">
        <v>0</v>
      </c>
      <c r="BQ148">
        <v>0</v>
      </c>
      <c r="BR148">
        <v>2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2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7</v>
      </c>
      <c r="DL148">
        <v>3</v>
      </c>
      <c r="DM148">
        <v>1</v>
      </c>
      <c r="DN148">
        <v>0</v>
      </c>
      <c r="DO148">
        <v>0</v>
      </c>
      <c r="DP148">
        <v>2</v>
      </c>
      <c r="DQ148">
        <v>0</v>
      </c>
      <c r="DR148">
        <v>0</v>
      </c>
      <c r="DS148">
        <v>1</v>
      </c>
      <c r="DT148">
        <v>0</v>
      </c>
      <c r="DU148">
        <v>0</v>
      </c>
      <c r="DV148">
        <v>7</v>
      </c>
      <c r="DW148">
        <v>15</v>
      </c>
      <c r="DX148">
        <v>0</v>
      </c>
      <c r="DY148">
        <v>1</v>
      </c>
      <c r="DZ148">
        <v>0</v>
      </c>
      <c r="EA148">
        <v>14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15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0</v>
      </c>
      <c r="ET148">
        <v>0</v>
      </c>
    </row>
    <row r="149" spans="1:150" ht="12.75">
      <c r="A149">
        <v>144</v>
      </c>
      <c r="B149" t="str">
        <f t="shared" si="28"/>
        <v>060605</v>
      </c>
      <c r="C149" t="str">
        <f t="shared" si="29"/>
        <v>Krasnystaw</v>
      </c>
      <c r="D149" t="str">
        <f t="shared" si="26"/>
        <v>krasnostawski</v>
      </c>
      <c r="E149" t="str">
        <f t="shared" si="27"/>
        <v>lubelskie</v>
      </c>
      <c r="F149">
        <v>13</v>
      </c>
      <c r="G149" t="str">
        <f>"Zespół Nr 1 Gimnazjum i Szkoły Podstawowej w Siennicy Nadolnej, Siennica Nadolna 79A, 22-302 Siennica Nadolna"</f>
        <v>Zespół Nr 1 Gimnazjum i Szkoły Podstawowej w Siennicy Nadolnej, Siennica Nadolna 79A, 22-302 Siennica Nadolna</v>
      </c>
      <c r="H149">
        <v>637</v>
      </c>
      <c r="I149">
        <v>637</v>
      </c>
      <c r="J149">
        <v>0</v>
      </c>
      <c r="K149">
        <v>450</v>
      </c>
      <c r="L149">
        <v>362</v>
      </c>
      <c r="M149">
        <v>88</v>
      </c>
      <c r="N149">
        <v>88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88</v>
      </c>
      <c r="Z149">
        <v>0</v>
      </c>
      <c r="AA149">
        <v>0</v>
      </c>
      <c r="AB149">
        <v>88</v>
      </c>
      <c r="AC149">
        <v>2</v>
      </c>
      <c r="AD149">
        <v>86</v>
      </c>
      <c r="AE149">
        <v>9</v>
      </c>
      <c r="AF149">
        <v>1</v>
      </c>
      <c r="AG149">
        <v>1</v>
      </c>
      <c r="AH149">
        <v>0</v>
      </c>
      <c r="AI149">
        <v>0</v>
      </c>
      <c r="AJ149">
        <v>7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9</v>
      </c>
      <c r="AQ149">
        <v>1</v>
      </c>
      <c r="AR149">
        <v>1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1</v>
      </c>
      <c r="BC149">
        <v>2</v>
      </c>
      <c r="BD149">
        <v>0</v>
      </c>
      <c r="BE149">
        <v>0</v>
      </c>
      <c r="BF149">
        <v>0</v>
      </c>
      <c r="BG149">
        <v>0</v>
      </c>
      <c r="BH149">
        <v>2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2</v>
      </c>
      <c r="BO149">
        <v>27</v>
      </c>
      <c r="BP149">
        <v>5</v>
      </c>
      <c r="BQ149">
        <v>8</v>
      </c>
      <c r="BR149">
        <v>8</v>
      </c>
      <c r="BS149">
        <v>3</v>
      </c>
      <c r="BT149">
        <v>0</v>
      </c>
      <c r="BU149">
        <v>1</v>
      </c>
      <c r="BV149">
        <v>0</v>
      </c>
      <c r="BW149">
        <v>1</v>
      </c>
      <c r="BX149">
        <v>0</v>
      </c>
      <c r="BY149">
        <v>1</v>
      </c>
      <c r="BZ149">
        <v>27</v>
      </c>
      <c r="CA149">
        <v>2</v>
      </c>
      <c r="CB149">
        <v>2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2</v>
      </c>
      <c r="CM149">
        <v>3</v>
      </c>
      <c r="CN149">
        <v>2</v>
      </c>
      <c r="CO149">
        <v>0</v>
      </c>
      <c r="CP149">
        <v>0</v>
      </c>
      <c r="CQ149">
        <v>1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3</v>
      </c>
      <c r="CY149">
        <v>6</v>
      </c>
      <c r="CZ149">
        <v>4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2</v>
      </c>
      <c r="DJ149">
        <v>6</v>
      </c>
      <c r="DK149">
        <v>24</v>
      </c>
      <c r="DL149">
        <v>5</v>
      </c>
      <c r="DM149">
        <v>3</v>
      </c>
      <c r="DN149">
        <v>0</v>
      </c>
      <c r="DO149">
        <v>1</v>
      </c>
      <c r="DP149">
        <v>15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24</v>
      </c>
      <c r="DW149">
        <v>12</v>
      </c>
      <c r="DX149">
        <v>0</v>
      </c>
      <c r="DY149">
        <v>2</v>
      </c>
      <c r="DZ149">
        <v>0</v>
      </c>
      <c r="EA149">
        <v>10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12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0</v>
      </c>
      <c r="ET149">
        <v>0</v>
      </c>
    </row>
    <row r="150" spans="1:150" ht="12.75">
      <c r="A150">
        <v>145</v>
      </c>
      <c r="B150" t="str">
        <f t="shared" si="28"/>
        <v>060605</v>
      </c>
      <c r="C150" t="str">
        <f t="shared" si="29"/>
        <v>Krasnystaw</v>
      </c>
      <c r="D150" t="str">
        <f t="shared" si="26"/>
        <v>krasnostawski</v>
      </c>
      <c r="E150" t="str">
        <f t="shared" si="27"/>
        <v>lubelskie</v>
      </c>
      <c r="F150">
        <v>14</v>
      </c>
      <c r="G150" t="str">
        <f>"Gminne Centrum Kultury w Krasnymstawie z/s w Siennicy Nadolnej, Siennica Nadolna 15G, 22-302 Siennica Nadolna"</f>
        <v>Gminne Centrum Kultury w Krasnymstawie z/s w Siennicy Nadolnej, Siennica Nadolna 15G, 22-302 Siennica Nadolna</v>
      </c>
      <c r="H150">
        <v>610</v>
      </c>
      <c r="I150">
        <v>610</v>
      </c>
      <c r="J150">
        <v>0</v>
      </c>
      <c r="K150">
        <v>430</v>
      </c>
      <c r="L150">
        <v>300</v>
      </c>
      <c r="M150">
        <v>130</v>
      </c>
      <c r="N150">
        <v>130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130</v>
      </c>
      <c r="Z150">
        <v>0</v>
      </c>
      <c r="AA150">
        <v>0</v>
      </c>
      <c r="AB150">
        <v>130</v>
      </c>
      <c r="AC150">
        <v>6</v>
      </c>
      <c r="AD150">
        <v>124</v>
      </c>
      <c r="AE150">
        <v>21</v>
      </c>
      <c r="AF150">
        <v>1</v>
      </c>
      <c r="AG150">
        <v>0</v>
      </c>
      <c r="AH150">
        <v>0</v>
      </c>
      <c r="AI150">
        <v>0</v>
      </c>
      <c r="AJ150">
        <v>20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21</v>
      </c>
      <c r="AQ150">
        <v>9</v>
      </c>
      <c r="AR150">
        <v>8</v>
      </c>
      <c r="AS150">
        <v>1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9</v>
      </c>
      <c r="BC150">
        <v>4</v>
      </c>
      <c r="BD150">
        <v>2</v>
      </c>
      <c r="BE150">
        <v>0</v>
      </c>
      <c r="BF150">
        <v>0</v>
      </c>
      <c r="BG150">
        <v>0</v>
      </c>
      <c r="BH150">
        <v>0</v>
      </c>
      <c r="BI150">
        <v>1</v>
      </c>
      <c r="BJ150">
        <v>1</v>
      </c>
      <c r="BK150">
        <v>0</v>
      </c>
      <c r="BL150">
        <v>0</v>
      </c>
      <c r="BM150">
        <v>0</v>
      </c>
      <c r="BN150">
        <v>4</v>
      </c>
      <c r="BO150">
        <v>49</v>
      </c>
      <c r="BP150">
        <v>9</v>
      </c>
      <c r="BQ150">
        <v>10</v>
      </c>
      <c r="BR150">
        <v>14</v>
      </c>
      <c r="BS150">
        <v>13</v>
      </c>
      <c r="BT150">
        <v>0</v>
      </c>
      <c r="BU150">
        <v>1</v>
      </c>
      <c r="BV150">
        <v>0</v>
      </c>
      <c r="BW150">
        <v>0</v>
      </c>
      <c r="BX150">
        <v>0</v>
      </c>
      <c r="BY150">
        <v>2</v>
      </c>
      <c r="BZ150">
        <v>49</v>
      </c>
      <c r="CA150">
        <v>1</v>
      </c>
      <c r="CB150">
        <v>1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1</v>
      </c>
      <c r="CM150">
        <v>2</v>
      </c>
      <c r="CN150">
        <v>2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2</v>
      </c>
      <c r="CY150">
        <v>5</v>
      </c>
      <c r="CZ150">
        <v>2</v>
      </c>
      <c r="DA150">
        <v>0</v>
      </c>
      <c r="DB150">
        <v>0</v>
      </c>
      <c r="DC150">
        <v>1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2</v>
      </c>
      <c r="DJ150">
        <v>5</v>
      </c>
      <c r="DK150">
        <v>24</v>
      </c>
      <c r="DL150">
        <v>7</v>
      </c>
      <c r="DM150">
        <v>1</v>
      </c>
      <c r="DN150">
        <v>0</v>
      </c>
      <c r="DO150">
        <v>1</v>
      </c>
      <c r="DP150">
        <v>14</v>
      </c>
      <c r="DQ150">
        <v>1</v>
      </c>
      <c r="DR150">
        <v>0</v>
      </c>
      <c r="DS150">
        <v>0</v>
      </c>
      <c r="DT150">
        <v>0</v>
      </c>
      <c r="DU150">
        <v>0</v>
      </c>
      <c r="DV150">
        <v>24</v>
      </c>
      <c r="DW150">
        <v>9</v>
      </c>
      <c r="DX150">
        <v>0</v>
      </c>
      <c r="DY150">
        <v>3</v>
      </c>
      <c r="DZ150">
        <v>0</v>
      </c>
      <c r="EA150">
        <v>5</v>
      </c>
      <c r="EB150">
        <v>0</v>
      </c>
      <c r="EC150">
        <v>0</v>
      </c>
      <c r="ED150">
        <v>1</v>
      </c>
      <c r="EE150">
        <v>0</v>
      </c>
      <c r="EF150">
        <v>0</v>
      </c>
      <c r="EG150">
        <v>0</v>
      </c>
      <c r="EH150">
        <v>9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0</v>
      </c>
      <c r="ET150">
        <v>0</v>
      </c>
    </row>
    <row r="151" spans="1:150" ht="12.75">
      <c r="A151">
        <v>146</v>
      </c>
      <c r="B151" t="str">
        <f t="shared" si="28"/>
        <v>060605</v>
      </c>
      <c r="C151" t="str">
        <f t="shared" si="29"/>
        <v>Krasnystaw</v>
      </c>
      <c r="D151" t="str">
        <f t="shared" si="26"/>
        <v>krasnostawski</v>
      </c>
      <c r="E151" t="str">
        <f t="shared" si="27"/>
        <v>lubelskie</v>
      </c>
      <c r="F151">
        <v>15</v>
      </c>
      <c r="G151" t="str">
        <f>"Wiejski Dom Kultury w Siennicy Nadolnej, Siennica Nadolna 217, 22-302 Siennica Nadolna"</f>
        <v>Wiejski Dom Kultury w Siennicy Nadolnej, Siennica Nadolna 217, 22-302 Siennica Nadolna</v>
      </c>
      <c r="H151">
        <v>468</v>
      </c>
      <c r="I151">
        <v>468</v>
      </c>
      <c r="J151">
        <v>0</v>
      </c>
      <c r="K151">
        <v>310</v>
      </c>
      <c r="L151">
        <v>207</v>
      </c>
      <c r="M151">
        <v>103</v>
      </c>
      <c r="N151">
        <v>103</v>
      </c>
      <c r="O151">
        <v>0</v>
      </c>
      <c r="P151">
        <v>0</v>
      </c>
      <c r="Q151">
        <v>1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103</v>
      </c>
      <c r="Z151">
        <v>0</v>
      </c>
      <c r="AA151">
        <v>0</v>
      </c>
      <c r="AB151">
        <v>103</v>
      </c>
      <c r="AC151">
        <v>2</v>
      </c>
      <c r="AD151">
        <v>101</v>
      </c>
      <c r="AE151">
        <v>5</v>
      </c>
      <c r="AF151">
        <v>0</v>
      </c>
      <c r="AG151">
        <v>0</v>
      </c>
      <c r="AH151">
        <v>0</v>
      </c>
      <c r="AI151">
        <v>0</v>
      </c>
      <c r="AJ151">
        <v>5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5</v>
      </c>
      <c r="AQ151">
        <v>1</v>
      </c>
      <c r="AR151">
        <v>1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1</v>
      </c>
      <c r="BC151">
        <v>6</v>
      </c>
      <c r="BD151">
        <v>6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6</v>
      </c>
      <c r="BO151">
        <v>44</v>
      </c>
      <c r="BP151">
        <v>9</v>
      </c>
      <c r="BQ151">
        <v>14</v>
      </c>
      <c r="BR151">
        <v>7</v>
      </c>
      <c r="BS151">
        <v>7</v>
      </c>
      <c r="BT151">
        <v>0</v>
      </c>
      <c r="BU151">
        <v>0</v>
      </c>
      <c r="BV151">
        <v>4</v>
      </c>
      <c r="BW151">
        <v>1</v>
      </c>
      <c r="BX151">
        <v>0</v>
      </c>
      <c r="BY151">
        <v>2</v>
      </c>
      <c r="BZ151">
        <v>44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3</v>
      </c>
      <c r="CN151">
        <v>3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3</v>
      </c>
      <c r="CY151">
        <v>10</v>
      </c>
      <c r="CZ151">
        <v>2</v>
      </c>
      <c r="DA151">
        <v>1</v>
      </c>
      <c r="DB151">
        <v>0</v>
      </c>
      <c r="DC151">
        <v>0</v>
      </c>
      <c r="DD151">
        <v>0</v>
      </c>
      <c r="DE151">
        <v>0</v>
      </c>
      <c r="DF151">
        <v>1</v>
      </c>
      <c r="DG151">
        <v>1</v>
      </c>
      <c r="DH151">
        <v>1</v>
      </c>
      <c r="DI151">
        <v>4</v>
      </c>
      <c r="DJ151">
        <v>10</v>
      </c>
      <c r="DK151">
        <v>12</v>
      </c>
      <c r="DL151">
        <v>4</v>
      </c>
      <c r="DM151">
        <v>1</v>
      </c>
      <c r="DN151">
        <v>1</v>
      </c>
      <c r="DO151">
        <v>0</v>
      </c>
      <c r="DP151">
        <v>2</v>
      </c>
      <c r="DQ151">
        <v>2</v>
      </c>
      <c r="DR151">
        <v>0</v>
      </c>
      <c r="DS151">
        <v>0</v>
      </c>
      <c r="DT151">
        <v>0</v>
      </c>
      <c r="DU151">
        <v>2</v>
      </c>
      <c r="DV151">
        <v>12</v>
      </c>
      <c r="DW151">
        <v>19</v>
      </c>
      <c r="DX151">
        <v>2</v>
      </c>
      <c r="DY151">
        <v>3</v>
      </c>
      <c r="DZ151">
        <v>2</v>
      </c>
      <c r="EA151">
        <v>12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19</v>
      </c>
      <c r="EI151">
        <v>1</v>
      </c>
      <c r="EJ151">
        <v>0</v>
      </c>
      <c r="EK151">
        <v>0</v>
      </c>
      <c r="EL151">
        <v>0</v>
      </c>
      <c r="EM151">
        <v>0</v>
      </c>
      <c r="EN151">
        <v>1</v>
      </c>
      <c r="EO151">
        <v>0</v>
      </c>
      <c r="EP151">
        <v>0</v>
      </c>
      <c r="EQ151">
        <v>0</v>
      </c>
      <c r="ER151">
        <v>0</v>
      </c>
      <c r="ES151">
        <v>0</v>
      </c>
      <c r="ET151">
        <v>1</v>
      </c>
    </row>
    <row r="152" spans="1:150" ht="12.75">
      <c r="A152">
        <v>147</v>
      </c>
      <c r="B152" t="str">
        <f t="shared" si="28"/>
        <v>060605</v>
      </c>
      <c r="C152" t="str">
        <f t="shared" si="29"/>
        <v>Krasnystaw</v>
      </c>
      <c r="D152" t="str">
        <f t="shared" si="26"/>
        <v>krasnostawski</v>
      </c>
      <c r="E152" t="str">
        <f t="shared" si="27"/>
        <v>lubelskie</v>
      </c>
      <c r="F152">
        <v>16</v>
      </c>
      <c r="G152" t="str">
        <f>"Zespół Nr 4 Gimnazjum i Szkoły Podstawowej w Małochwieju Dużym, Małochwiej Duży 82, 22-300 Krasnystaw"</f>
        <v>Zespół Nr 4 Gimnazjum i Szkoły Podstawowej w Małochwieju Dużym, Małochwiej Duży 82, 22-300 Krasnystaw</v>
      </c>
      <c r="H152">
        <v>510</v>
      </c>
      <c r="I152">
        <v>510</v>
      </c>
      <c r="J152">
        <v>0</v>
      </c>
      <c r="K152">
        <v>360</v>
      </c>
      <c r="L152">
        <v>264</v>
      </c>
      <c r="M152">
        <v>96</v>
      </c>
      <c r="N152">
        <v>96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96</v>
      </c>
      <c r="Z152">
        <v>0</v>
      </c>
      <c r="AA152">
        <v>0</v>
      </c>
      <c r="AB152">
        <v>96</v>
      </c>
      <c r="AC152">
        <v>1</v>
      </c>
      <c r="AD152">
        <v>95</v>
      </c>
      <c r="AE152">
        <v>8</v>
      </c>
      <c r="AF152">
        <v>1</v>
      </c>
      <c r="AG152">
        <v>0</v>
      </c>
      <c r="AH152">
        <v>0</v>
      </c>
      <c r="AI152">
        <v>0</v>
      </c>
      <c r="AJ152">
        <v>5</v>
      </c>
      <c r="AK152">
        <v>0</v>
      </c>
      <c r="AL152">
        <v>0</v>
      </c>
      <c r="AM152">
        <v>0</v>
      </c>
      <c r="AN152">
        <v>2</v>
      </c>
      <c r="AO152">
        <v>0</v>
      </c>
      <c r="AP152">
        <v>8</v>
      </c>
      <c r="AQ152">
        <v>2</v>
      </c>
      <c r="AR152">
        <v>1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1</v>
      </c>
      <c r="BB152">
        <v>2</v>
      </c>
      <c r="BC152">
        <v>6</v>
      </c>
      <c r="BD152">
        <v>1</v>
      </c>
      <c r="BE152">
        <v>1</v>
      </c>
      <c r="BF152">
        <v>1</v>
      </c>
      <c r="BG152">
        <v>0</v>
      </c>
      <c r="BH152">
        <v>3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6</v>
      </c>
      <c r="BO152">
        <v>19</v>
      </c>
      <c r="BP152">
        <v>2</v>
      </c>
      <c r="BQ152">
        <v>14</v>
      </c>
      <c r="BR152">
        <v>2</v>
      </c>
      <c r="BS152">
        <v>1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19</v>
      </c>
      <c r="CA152">
        <v>5</v>
      </c>
      <c r="CB152">
        <v>5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5</v>
      </c>
      <c r="CM152">
        <v>3</v>
      </c>
      <c r="CN152">
        <v>2</v>
      </c>
      <c r="CO152">
        <v>0</v>
      </c>
      <c r="CP152">
        <v>0</v>
      </c>
      <c r="CQ152">
        <v>1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3</v>
      </c>
      <c r="CY152">
        <v>7</v>
      </c>
      <c r="CZ152">
        <v>1</v>
      </c>
      <c r="DA152">
        <v>2</v>
      </c>
      <c r="DB152">
        <v>1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3</v>
      </c>
      <c r="DJ152">
        <v>7</v>
      </c>
      <c r="DK152">
        <v>23</v>
      </c>
      <c r="DL152">
        <v>3</v>
      </c>
      <c r="DM152">
        <v>3</v>
      </c>
      <c r="DN152">
        <v>1</v>
      </c>
      <c r="DO152">
        <v>1</v>
      </c>
      <c r="DP152">
        <v>14</v>
      </c>
      <c r="DQ152">
        <v>0</v>
      </c>
      <c r="DR152">
        <v>1</v>
      </c>
      <c r="DS152">
        <v>0</v>
      </c>
      <c r="DT152">
        <v>0</v>
      </c>
      <c r="DU152">
        <v>0</v>
      </c>
      <c r="DV152">
        <v>23</v>
      </c>
      <c r="DW152">
        <v>22</v>
      </c>
      <c r="DX152">
        <v>5</v>
      </c>
      <c r="DY152">
        <v>9</v>
      </c>
      <c r="DZ152">
        <v>0</v>
      </c>
      <c r="EA152">
        <v>7</v>
      </c>
      <c r="EB152">
        <v>0</v>
      </c>
      <c r="EC152">
        <v>1</v>
      </c>
      <c r="ED152">
        <v>0</v>
      </c>
      <c r="EE152">
        <v>0</v>
      </c>
      <c r="EF152">
        <v>0</v>
      </c>
      <c r="EG152">
        <v>0</v>
      </c>
      <c r="EH152">
        <v>22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0</v>
      </c>
      <c r="ER152">
        <v>0</v>
      </c>
      <c r="ES152">
        <v>0</v>
      </c>
      <c r="ET152">
        <v>0</v>
      </c>
    </row>
    <row r="153" spans="1:150" ht="12.75">
      <c r="A153">
        <v>148</v>
      </c>
      <c r="B153" t="str">
        <f t="shared" si="28"/>
        <v>060605</v>
      </c>
      <c r="C153" t="str">
        <f t="shared" si="29"/>
        <v>Krasnystaw</v>
      </c>
      <c r="D153" t="str">
        <f t="shared" si="26"/>
        <v>krasnostawski</v>
      </c>
      <c r="E153" t="str">
        <f t="shared" si="27"/>
        <v>lubelskie</v>
      </c>
      <c r="F153">
        <v>17</v>
      </c>
      <c r="G153" t="str">
        <f>"Zespół Nr 4 Gimnazjum i Szkoły Podstawowej w Małochwieju Dużym, Małochwiej Duży 82, 22-300 Krasnystaw"</f>
        <v>Zespół Nr 4 Gimnazjum i Szkoły Podstawowej w Małochwieju Dużym, Małochwiej Duży 82, 22-300 Krasnystaw</v>
      </c>
      <c r="H153">
        <v>255</v>
      </c>
      <c r="I153">
        <v>255</v>
      </c>
      <c r="J153">
        <v>0</v>
      </c>
      <c r="K153">
        <v>180</v>
      </c>
      <c r="L153">
        <v>137</v>
      </c>
      <c r="M153">
        <v>43</v>
      </c>
      <c r="N153">
        <v>43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43</v>
      </c>
      <c r="Z153">
        <v>0</v>
      </c>
      <c r="AA153">
        <v>0</v>
      </c>
      <c r="AB153">
        <v>43</v>
      </c>
      <c r="AC153">
        <v>0</v>
      </c>
      <c r="AD153">
        <v>43</v>
      </c>
      <c r="AE153">
        <v>2</v>
      </c>
      <c r="AF153">
        <v>0</v>
      </c>
      <c r="AG153">
        <v>0</v>
      </c>
      <c r="AH153">
        <v>0</v>
      </c>
      <c r="AI153">
        <v>0</v>
      </c>
      <c r="AJ153">
        <v>2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2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11</v>
      </c>
      <c r="BD153">
        <v>4</v>
      </c>
      <c r="BE153">
        <v>0</v>
      </c>
      <c r="BF153">
        <v>0</v>
      </c>
      <c r="BG153">
        <v>0</v>
      </c>
      <c r="BH153">
        <v>6</v>
      </c>
      <c r="BI153">
        <v>0</v>
      </c>
      <c r="BJ153">
        <v>1</v>
      </c>
      <c r="BK153">
        <v>0</v>
      </c>
      <c r="BL153">
        <v>0</v>
      </c>
      <c r="BM153">
        <v>0</v>
      </c>
      <c r="BN153">
        <v>11</v>
      </c>
      <c r="BO153">
        <v>1</v>
      </c>
      <c r="BP153">
        <v>0</v>
      </c>
      <c r="BQ153">
        <v>1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1</v>
      </c>
      <c r="CA153">
        <v>3</v>
      </c>
      <c r="CB153">
        <v>1</v>
      </c>
      <c r="CC153">
        <v>0</v>
      </c>
      <c r="CD153">
        <v>0</v>
      </c>
      <c r="CE153">
        <v>0</v>
      </c>
      <c r="CF153">
        <v>0</v>
      </c>
      <c r="CG153">
        <v>1</v>
      </c>
      <c r="CH153">
        <v>0</v>
      </c>
      <c r="CI153">
        <v>0</v>
      </c>
      <c r="CJ153">
        <v>0</v>
      </c>
      <c r="CK153">
        <v>1</v>
      </c>
      <c r="CL153">
        <v>3</v>
      </c>
      <c r="CM153">
        <v>1</v>
      </c>
      <c r="CN153">
        <v>1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1</v>
      </c>
      <c r="CY153">
        <v>3</v>
      </c>
      <c r="CZ153">
        <v>1</v>
      </c>
      <c r="DA153">
        <v>0</v>
      </c>
      <c r="DB153">
        <v>1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1</v>
      </c>
      <c r="DJ153">
        <v>3</v>
      </c>
      <c r="DK153">
        <v>12</v>
      </c>
      <c r="DL153">
        <v>0</v>
      </c>
      <c r="DM153">
        <v>2</v>
      </c>
      <c r="DN153">
        <v>0</v>
      </c>
      <c r="DO153">
        <v>0</v>
      </c>
      <c r="DP153">
        <v>10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12</v>
      </c>
      <c r="DW153">
        <v>10</v>
      </c>
      <c r="DX153">
        <v>2</v>
      </c>
      <c r="DY153">
        <v>2</v>
      </c>
      <c r="DZ153">
        <v>0</v>
      </c>
      <c r="EA153">
        <v>6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10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0</v>
      </c>
      <c r="ET153">
        <v>0</v>
      </c>
    </row>
    <row r="154" spans="1:150" ht="12.75">
      <c r="A154">
        <v>149</v>
      </c>
      <c r="B154" t="str">
        <f t="shared" si="28"/>
        <v>060605</v>
      </c>
      <c r="C154" t="str">
        <f t="shared" si="29"/>
        <v>Krasnystaw</v>
      </c>
      <c r="D154" t="str">
        <f t="shared" si="26"/>
        <v>krasnostawski</v>
      </c>
      <c r="E154" t="str">
        <f t="shared" si="27"/>
        <v>lubelskie</v>
      </c>
      <c r="F154">
        <v>18</v>
      </c>
      <c r="G154" t="str">
        <f>"Dom Ludowy w Łanach, Łany 4, 22-300 Krasnystaw"</f>
        <v>Dom Ludowy w Łanach, Łany 4, 22-300 Krasnystaw</v>
      </c>
      <c r="H154">
        <v>217</v>
      </c>
      <c r="I154">
        <v>217</v>
      </c>
      <c r="J154">
        <v>0</v>
      </c>
      <c r="K154">
        <v>150</v>
      </c>
      <c r="L154">
        <v>93</v>
      </c>
      <c r="M154">
        <v>57</v>
      </c>
      <c r="N154">
        <v>57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57</v>
      </c>
      <c r="Z154">
        <v>0</v>
      </c>
      <c r="AA154">
        <v>0</v>
      </c>
      <c r="AB154">
        <v>57</v>
      </c>
      <c r="AC154">
        <v>2</v>
      </c>
      <c r="AD154">
        <v>55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2</v>
      </c>
      <c r="BD154">
        <v>0</v>
      </c>
      <c r="BE154">
        <v>0</v>
      </c>
      <c r="BF154">
        <v>0</v>
      </c>
      <c r="BG154">
        <v>0</v>
      </c>
      <c r="BH154">
        <v>1</v>
      </c>
      <c r="BI154">
        <v>0</v>
      </c>
      <c r="BJ154">
        <v>1</v>
      </c>
      <c r="BK154">
        <v>0</v>
      </c>
      <c r="BL154">
        <v>0</v>
      </c>
      <c r="BM154">
        <v>0</v>
      </c>
      <c r="BN154">
        <v>2</v>
      </c>
      <c r="BO154">
        <v>21</v>
      </c>
      <c r="BP154">
        <v>0</v>
      </c>
      <c r="BQ154">
        <v>16</v>
      </c>
      <c r="BR154">
        <v>2</v>
      </c>
      <c r="BS154">
        <v>1</v>
      </c>
      <c r="BT154">
        <v>0</v>
      </c>
      <c r="BU154">
        <v>0</v>
      </c>
      <c r="BV154">
        <v>0</v>
      </c>
      <c r="BW154">
        <v>2</v>
      </c>
      <c r="BX154">
        <v>0</v>
      </c>
      <c r="BY154">
        <v>0</v>
      </c>
      <c r="BZ154">
        <v>21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4</v>
      </c>
      <c r="CZ154">
        <v>0</v>
      </c>
      <c r="DA154">
        <v>1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3</v>
      </c>
      <c r="DJ154">
        <v>4</v>
      </c>
      <c r="DK154">
        <v>22</v>
      </c>
      <c r="DL154">
        <v>1</v>
      </c>
      <c r="DM154">
        <v>0</v>
      </c>
      <c r="DN154">
        <v>0</v>
      </c>
      <c r="DO154">
        <v>0</v>
      </c>
      <c r="DP154">
        <v>21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22</v>
      </c>
      <c r="DW154">
        <v>6</v>
      </c>
      <c r="DX154">
        <v>0</v>
      </c>
      <c r="DY154">
        <v>2</v>
      </c>
      <c r="DZ154">
        <v>0</v>
      </c>
      <c r="EA154">
        <v>3</v>
      </c>
      <c r="EB154">
        <v>1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6</v>
      </c>
      <c r="EI154">
        <v>0</v>
      </c>
      <c r="EJ154">
        <v>0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0</v>
      </c>
      <c r="ET154">
        <v>0</v>
      </c>
    </row>
    <row r="155" spans="1:150" ht="12.75">
      <c r="A155">
        <v>150</v>
      </c>
      <c r="B155" t="str">
        <f aca="true" t="shared" si="30" ref="B155:B165">"060606"</f>
        <v>060606</v>
      </c>
      <c r="C155" t="str">
        <f aca="true" t="shared" si="31" ref="C155:C165">"Kraśniczyn"</f>
        <v>Kraśniczyn</v>
      </c>
      <c r="D155" t="str">
        <f t="shared" si="26"/>
        <v>krasnostawski</v>
      </c>
      <c r="E155" t="str">
        <f t="shared" si="27"/>
        <v>lubelskie</v>
      </c>
      <c r="F155">
        <v>1</v>
      </c>
      <c r="G155" t="str">
        <f>"Remiza OSP, Bończa 85A, 22-310 Kraśniczyn"</f>
        <v>Remiza OSP, Bończa 85A, 22-310 Kraśniczyn</v>
      </c>
      <c r="H155">
        <v>381</v>
      </c>
      <c r="I155">
        <v>381</v>
      </c>
      <c r="J155">
        <v>0</v>
      </c>
      <c r="K155">
        <v>320</v>
      </c>
      <c r="L155">
        <v>266</v>
      </c>
      <c r="M155">
        <v>54</v>
      </c>
      <c r="N155">
        <v>54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54</v>
      </c>
      <c r="Z155">
        <v>0</v>
      </c>
      <c r="AA155">
        <v>0</v>
      </c>
      <c r="AB155">
        <v>54</v>
      </c>
      <c r="AC155">
        <v>2</v>
      </c>
      <c r="AD155">
        <v>52</v>
      </c>
      <c r="AE155">
        <v>2</v>
      </c>
      <c r="AF155">
        <v>0</v>
      </c>
      <c r="AG155">
        <v>0</v>
      </c>
      <c r="AH155">
        <v>1</v>
      </c>
      <c r="AI155">
        <v>0</v>
      </c>
      <c r="AJ155">
        <v>0</v>
      </c>
      <c r="AK155">
        <v>0</v>
      </c>
      <c r="AL155">
        <v>0</v>
      </c>
      <c r="AM155">
        <v>1</v>
      </c>
      <c r="AN155">
        <v>0</v>
      </c>
      <c r="AO155">
        <v>0</v>
      </c>
      <c r="AP155">
        <v>2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3</v>
      </c>
      <c r="BD155">
        <v>1</v>
      </c>
      <c r="BE155">
        <v>0</v>
      </c>
      <c r="BF155">
        <v>0</v>
      </c>
      <c r="BG155">
        <v>0</v>
      </c>
      <c r="BH155">
        <v>1</v>
      </c>
      <c r="BI155">
        <v>0</v>
      </c>
      <c r="BJ155">
        <v>0</v>
      </c>
      <c r="BK155">
        <v>0</v>
      </c>
      <c r="BL155">
        <v>0</v>
      </c>
      <c r="BM155">
        <v>1</v>
      </c>
      <c r="BN155">
        <v>3</v>
      </c>
      <c r="BO155">
        <v>15</v>
      </c>
      <c r="BP155">
        <v>4</v>
      </c>
      <c r="BQ155">
        <v>2</v>
      </c>
      <c r="BR155">
        <v>6</v>
      </c>
      <c r="BS155">
        <v>0</v>
      </c>
      <c r="BT155">
        <v>0</v>
      </c>
      <c r="BU155">
        <v>0</v>
      </c>
      <c r="BV155">
        <v>0</v>
      </c>
      <c r="BW155">
        <v>3</v>
      </c>
      <c r="BX155">
        <v>0</v>
      </c>
      <c r="BY155">
        <v>0</v>
      </c>
      <c r="BZ155">
        <v>15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1</v>
      </c>
      <c r="CN155">
        <v>0</v>
      </c>
      <c r="CO155">
        <v>0</v>
      </c>
      <c r="CP155">
        <v>0</v>
      </c>
      <c r="CQ155">
        <v>0</v>
      </c>
      <c r="CR155">
        <v>1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1</v>
      </c>
      <c r="CY155">
        <v>1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1</v>
      </c>
      <c r="DJ155">
        <v>1</v>
      </c>
      <c r="DK155">
        <v>9</v>
      </c>
      <c r="DL155">
        <v>5</v>
      </c>
      <c r="DM155">
        <v>0</v>
      </c>
      <c r="DN155">
        <v>3</v>
      </c>
      <c r="DO155">
        <v>0</v>
      </c>
      <c r="DP155">
        <v>1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9</v>
      </c>
      <c r="DW155">
        <v>21</v>
      </c>
      <c r="DX155">
        <v>4</v>
      </c>
      <c r="DY155">
        <v>5</v>
      </c>
      <c r="DZ155">
        <v>2</v>
      </c>
      <c r="EA155">
        <v>10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21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0</v>
      </c>
    </row>
    <row r="156" spans="1:150" ht="12.75">
      <c r="A156">
        <v>151</v>
      </c>
      <c r="B156" t="str">
        <f t="shared" si="30"/>
        <v>060606</v>
      </c>
      <c r="C156" t="str">
        <f t="shared" si="31"/>
        <v>Kraśniczyn</v>
      </c>
      <c r="D156" t="str">
        <f t="shared" si="26"/>
        <v>krasnostawski</v>
      </c>
      <c r="E156" t="str">
        <f t="shared" si="27"/>
        <v>lubelskie</v>
      </c>
      <c r="F156">
        <v>2</v>
      </c>
      <c r="G156" t="str">
        <f>"Urząd Gminy, Kościuszki 21, 22-310 Kraśniczyn"</f>
        <v>Urząd Gminy, Kościuszki 21, 22-310 Kraśniczyn</v>
      </c>
      <c r="H156">
        <v>1138</v>
      </c>
      <c r="I156">
        <v>1138</v>
      </c>
      <c r="J156">
        <v>0</v>
      </c>
      <c r="K156">
        <v>810</v>
      </c>
      <c r="L156">
        <v>581</v>
      </c>
      <c r="M156">
        <v>229</v>
      </c>
      <c r="N156">
        <v>229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229</v>
      </c>
      <c r="Z156">
        <v>0</v>
      </c>
      <c r="AA156">
        <v>0</v>
      </c>
      <c r="AB156">
        <v>229</v>
      </c>
      <c r="AC156">
        <v>16</v>
      </c>
      <c r="AD156">
        <v>213</v>
      </c>
      <c r="AE156">
        <v>10</v>
      </c>
      <c r="AF156">
        <v>3</v>
      </c>
      <c r="AG156">
        <v>0</v>
      </c>
      <c r="AH156">
        <v>0</v>
      </c>
      <c r="AI156">
        <v>0</v>
      </c>
      <c r="AJ156">
        <v>5</v>
      </c>
      <c r="AK156">
        <v>0</v>
      </c>
      <c r="AL156">
        <v>1</v>
      </c>
      <c r="AM156">
        <v>1</v>
      </c>
      <c r="AN156">
        <v>0</v>
      </c>
      <c r="AO156">
        <v>0</v>
      </c>
      <c r="AP156">
        <v>10</v>
      </c>
      <c r="AQ156">
        <v>4</v>
      </c>
      <c r="AR156">
        <v>3</v>
      </c>
      <c r="AS156">
        <v>1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4</v>
      </c>
      <c r="BC156">
        <v>20</v>
      </c>
      <c r="BD156">
        <v>5</v>
      </c>
      <c r="BE156">
        <v>2</v>
      </c>
      <c r="BF156">
        <v>1</v>
      </c>
      <c r="BG156">
        <v>0</v>
      </c>
      <c r="BH156">
        <v>12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20</v>
      </c>
      <c r="BO156">
        <v>55</v>
      </c>
      <c r="BP156">
        <v>12</v>
      </c>
      <c r="BQ156">
        <v>27</v>
      </c>
      <c r="BR156">
        <v>8</v>
      </c>
      <c r="BS156">
        <v>6</v>
      </c>
      <c r="BT156">
        <v>0</v>
      </c>
      <c r="BU156">
        <v>0</v>
      </c>
      <c r="BV156">
        <v>1</v>
      </c>
      <c r="BW156">
        <v>1</v>
      </c>
      <c r="BX156">
        <v>0</v>
      </c>
      <c r="BY156">
        <v>0</v>
      </c>
      <c r="BZ156">
        <v>55</v>
      </c>
      <c r="CA156">
        <v>3</v>
      </c>
      <c r="CB156">
        <v>1</v>
      </c>
      <c r="CC156">
        <v>2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3</v>
      </c>
      <c r="CM156">
        <v>7</v>
      </c>
      <c r="CN156">
        <v>4</v>
      </c>
      <c r="CO156">
        <v>0</v>
      </c>
      <c r="CP156">
        <v>1</v>
      </c>
      <c r="CQ156">
        <v>1</v>
      </c>
      <c r="CR156">
        <v>0</v>
      </c>
      <c r="CS156">
        <v>0</v>
      </c>
      <c r="CT156">
        <v>1</v>
      </c>
      <c r="CU156">
        <v>0</v>
      </c>
      <c r="CV156">
        <v>0</v>
      </c>
      <c r="CW156">
        <v>0</v>
      </c>
      <c r="CX156">
        <v>7</v>
      </c>
      <c r="CY156">
        <v>14</v>
      </c>
      <c r="CZ156">
        <v>2</v>
      </c>
      <c r="DA156">
        <v>1</v>
      </c>
      <c r="DB156">
        <v>3</v>
      </c>
      <c r="DC156">
        <v>0</v>
      </c>
      <c r="DD156">
        <v>0</v>
      </c>
      <c r="DE156">
        <v>0</v>
      </c>
      <c r="DF156">
        <v>1</v>
      </c>
      <c r="DG156">
        <v>1</v>
      </c>
      <c r="DH156">
        <v>0</v>
      </c>
      <c r="DI156">
        <v>6</v>
      </c>
      <c r="DJ156">
        <v>14</v>
      </c>
      <c r="DK156">
        <v>28</v>
      </c>
      <c r="DL156">
        <v>1</v>
      </c>
      <c r="DM156">
        <v>0</v>
      </c>
      <c r="DN156">
        <v>0</v>
      </c>
      <c r="DO156">
        <v>1</v>
      </c>
      <c r="DP156">
        <v>26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28</v>
      </c>
      <c r="DW156">
        <v>70</v>
      </c>
      <c r="DX156">
        <v>2</v>
      </c>
      <c r="DY156">
        <v>11</v>
      </c>
      <c r="DZ156">
        <v>2</v>
      </c>
      <c r="EA156">
        <v>55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70</v>
      </c>
      <c r="EI156">
        <v>2</v>
      </c>
      <c r="EJ156">
        <v>0</v>
      </c>
      <c r="EK156">
        <v>1</v>
      </c>
      <c r="EL156">
        <v>0</v>
      </c>
      <c r="EM156">
        <v>0</v>
      </c>
      <c r="EN156">
        <v>1</v>
      </c>
      <c r="EO156">
        <v>0</v>
      </c>
      <c r="EP156">
        <v>0</v>
      </c>
      <c r="EQ156">
        <v>0</v>
      </c>
      <c r="ER156">
        <v>0</v>
      </c>
      <c r="ES156">
        <v>0</v>
      </c>
      <c r="ET156">
        <v>2</v>
      </c>
    </row>
    <row r="157" spans="1:150" ht="12.75">
      <c r="A157">
        <v>152</v>
      </c>
      <c r="B157" t="str">
        <f t="shared" si="30"/>
        <v>060606</v>
      </c>
      <c r="C157" t="str">
        <f t="shared" si="31"/>
        <v>Kraśniczyn</v>
      </c>
      <c r="D157" t="str">
        <f t="shared" si="26"/>
        <v>krasnostawski</v>
      </c>
      <c r="E157" t="str">
        <f t="shared" si="27"/>
        <v>lubelskie</v>
      </c>
      <c r="F157">
        <v>3</v>
      </c>
      <c r="G157" t="str">
        <f>"DPS, Żułów 13, 22-310 Kraśniczyn"</f>
        <v>DPS, Żułów 13, 22-310 Kraśniczyn</v>
      </c>
      <c r="H157">
        <v>191</v>
      </c>
      <c r="I157">
        <v>191</v>
      </c>
      <c r="J157">
        <v>0</v>
      </c>
      <c r="K157">
        <v>115</v>
      </c>
      <c r="L157">
        <v>28</v>
      </c>
      <c r="M157">
        <v>87</v>
      </c>
      <c r="N157">
        <v>87</v>
      </c>
      <c r="O157">
        <v>0</v>
      </c>
      <c r="P157">
        <v>0</v>
      </c>
      <c r="Q157">
        <v>1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87</v>
      </c>
      <c r="Z157">
        <v>0</v>
      </c>
      <c r="AA157">
        <v>0</v>
      </c>
      <c r="AB157">
        <v>87</v>
      </c>
      <c r="AC157">
        <v>5</v>
      </c>
      <c r="AD157">
        <v>82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75</v>
      </c>
      <c r="BP157">
        <v>25</v>
      </c>
      <c r="BQ157">
        <v>46</v>
      </c>
      <c r="BR157">
        <v>0</v>
      </c>
      <c r="BS157">
        <v>2</v>
      </c>
      <c r="BT157">
        <v>1</v>
      </c>
      <c r="BU157">
        <v>0</v>
      </c>
      <c r="BV157">
        <v>0</v>
      </c>
      <c r="BW157">
        <v>1</v>
      </c>
      <c r="BX157">
        <v>0</v>
      </c>
      <c r="BY157">
        <v>0</v>
      </c>
      <c r="BZ157">
        <v>75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3</v>
      </c>
      <c r="DL157">
        <v>1</v>
      </c>
      <c r="DM157">
        <v>0</v>
      </c>
      <c r="DN157">
        <v>0</v>
      </c>
      <c r="DO157">
        <v>0</v>
      </c>
      <c r="DP157">
        <v>1</v>
      </c>
      <c r="DQ157">
        <v>1</v>
      </c>
      <c r="DR157">
        <v>0</v>
      </c>
      <c r="DS157">
        <v>0</v>
      </c>
      <c r="DT157">
        <v>0</v>
      </c>
      <c r="DU157">
        <v>0</v>
      </c>
      <c r="DV157">
        <v>3</v>
      </c>
      <c r="DW157">
        <v>4</v>
      </c>
      <c r="DX157">
        <v>0</v>
      </c>
      <c r="DY157">
        <v>1</v>
      </c>
      <c r="DZ157">
        <v>0</v>
      </c>
      <c r="EA157">
        <v>3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4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0</v>
      </c>
      <c r="ES157">
        <v>0</v>
      </c>
      <c r="ET157">
        <v>0</v>
      </c>
    </row>
    <row r="158" spans="1:150" ht="12.75">
      <c r="A158">
        <v>153</v>
      </c>
      <c r="B158" t="str">
        <f t="shared" si="30"/>
        <v>060606</v>
      </c>
      <c r="C158" t="str">
        <f t="shared" si="31"/>
        <v>Kraśniczyn</v>
      </c>
      <c r="D158" t="str">
        <f t="shared" si="26"/>
        <v>krasnostawski</v>
      </c>
      <c r="E158" t="str">
        <f t="shared" si="27"/>
        <v>lubelskie</v>
      </c>
      <c r="F158">
        <v>4</v>
      </c>
      <c r="G158" t="str">
        <f>"Remiza OSP, Drewniki 27, 22-310 Kraśniczyn"</f>
        <v>Remiza OSP, Drewniki 27, 22-310 Kraśniczyn</v>
      </c>
      <c r="H158">
        <v>165</v>
      </c>
      <c r="I158">
        <v>165</v>
      </c>
      <c r="J158">
        <v>0</v>
      </c>
      <c r="K158">
        <v>120</v>
      </c>
      <c r="L158">
        <v>82</v>
      </c>
      <c r="M158">
        <v>38</v>
      </c>
      <c r="N158">
        <v>38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38</v>
      </c>
      <c r="Z158">
        <v>0</v>
      </c>
      <c r="AA158">
        <v>0</v>
      </c>
      <c r="AB158">
        <v>38</v>
      </c>
      <c r="AC158">
        <v>1</v>
      </c>
      <c r="AD158">
        <v>37</v>
      </c>
      <c r="AE158">
        <v>3</v>
      </c>
      <c r="AF158">
        <v>0</v>
      </c>
      <c r="AG158">
        <v>0</v>
      </c>
      <c r="AH158">
        <v>0</v>
      </c>
      <c r="AI158">
        <v>0</v>
      </c>
      <c r="AJ158">
        <v>3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3</v>
      </c>
      <c r="AQ158">
        <v>1</v>
      </c>
      <c r="AR158">
        <v>0</v>
      </c>
      <c r="AS158">
        <v>0</v>
      </c>
      <c r="AT158">
        <v>1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1</v>
      </c>
      <c r="BC158">
        <v>2</v>
      </c>
      <c r="BD158">
        <v>0</v>
      </c>
      <c r="BE158">
        <v>0</v>
      </c>
      <c r="BF158">
        <v>1</v>
      </c>
      <c r="BG158">
        <v>0</v>
      </c>
      <c r="BH158">
        <v>1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2</v>
      </c>
      <c r="BO158">
        <v>20</v>
      </c>
      <c r="BP158">
        <v>4</v>
      </c>
      <c r="BQ158">
        <v>7</v>
      </c>
      <c r="BR158">
        <v>5</v>
      </c>
      <c r="BS158">
        <v>1</v>
      </c>
      <c r="BT158">
        <v>0</v>
      </c>
      <c r="BU158">
        <v>0</v>
      </c>
      <c r="BV158">
        <v>0</v>
      </c>
      <c r="BW158">
        <v>2</v>
      </c>
      <c r="BX158">
        <v>0</v>
      </c>
      <c r="BY158">
        <v>1</v>
      </c>
      <c r="BZ158">
        <v>20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1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1</v>
      </c>
      <c r="DJ158">
        <v>1</v>
      </c>
      <c r="DK158">
        <v>4</v>
      </c>
      <c r="DL158">
        <v>0</v>
      </c>
      <c r="DM158">
        <v>1</v>
      </c>
      <c r="DN158">
        <v>1</v>
      </c>
      <c r="DO158">
        <v>0</v>
      </c>
      <c r="DP158">
        <v>2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4</v>
      </c>
      <c r="DW158">
        <v>6</v>
      </c>
      <c r="DX158">
        <v>0</v>
      </c>
      <c r="DY158">
        <v>0</v>
      </c>
      <c r="DZ158">
        <v>1</v>
      </c>
      <c r="EA158">
        <v>5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6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0</v>
      </c>
    </row>
    <row r="159" spans="1:150" ht="12.75">
      <c r="A159">
        <v>154</v>
      </c>
      <c r="B159" t="str">
        <f t="shared" si="30"/>
        <v>060606</v>
      </c>
      <c r="C159" t="str">
        <f t="shared" si="31"/>
        <v>Kraśniczyn</v>
      </c>
      <c r="D159" t="str">
        <f t="shared" si="26"/>
        <v>krasnostawski</v>
      </c>
      <c r="E159" t="str">
        <f t="shared" si="27"/>
        <v>lubelskie</v>
      </c>
      <c r="F159">
        <v>5</v>
      </c>
      <c r="G159" t="str">
        <f>"Remiza OSP, Olszanka 25A, 22-310 Kraśniczyn"</f>
        <v>Remiza OSP, Olszanka 25A, 22-310 Kraśniczyn</v>
      </c>
      <c r="H159">
        <v>206</v>
      </c>
      <c r="I159">
        <v>206</v>
      </c>
      <c r="J159">
        <v>0</v>
      </c>
      <c r="K159">
        <v>140</v>
      </c>
      <c r="L159">
        <v>112</v>
      </c>
      <c r="M159">
        <v>28</v>
      </c>
      <c r="N159">
        <v>28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28</v>
      </c>
      <c r="Z159">
        <v>0</v>
      </c>
      <c r="AA159">
        <v>0</v>
      </c>
      <c r="AB159">
        <v>28</v>
      </c>
      <c r="AC159">
        <v>0</v>
      </c>
      <c r="AD159">
        <v>28</v>
      </c>
      <c r="AE159">
        <v>2</v>
      </c>
      <c r="AF159">
        <v>0</v>
      </c>
      <c r="AG159">
        <v>1</v>
      </c>
      <c r="AH159">
        <v>0</v>
      </c>
      <c r="AI159">
        <v>0</v>
      </c>
      <c r="AJ159">
        <v>1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2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3</v>
      </c>
      <c r="BD159">
        <v>2</v>
      </c>
      <c r="BE159">
        <v>0</v>
      </c>
      <c r="BF159">
        <v>0</v>
      </c>
      <c r="BG159">
        <v>0</v>
      </c>
      <c r="BH159">
        <v>1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3</v>
      </c>
      <c r="BO159">
        <v>5</v>
      </c>
      <c r="BP159">
        <v>0</v>
      </c>
      <c r="BQ159">
        <v>0</v>
      </c>
      <c r="BR159">
        <v>2</v>
      </c>
      <c r="BS159">
        <v>3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5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3</v>
      </c>
      <c r="CZ159">
        <v>1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2</v>
      </c>
      <c r="DJ159">
        <v>3</v>
      </c>
      <c r="DK159">
        <v>2</v>
      </c>
      <c r="DL159">
        <v>0</v>
      </c>
      <c r="DM159">
        <v>1</v>
      </c>
      <c r="DN159">
        <v>0</v>
      </c>
      <c r="DO159">
        <v>0</v>
      </c>
      <c r="DP159">
        <v>1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2</v>
      </c>
      <c r="DW159">
        <v>13</v>
      </c>
      <c r="DX159">
        <v>0</v>
      </c>
      <c r="DY159">
        <v>3</v>
      </c>
      <c r="DZ159">
        <v>1</v>
      </c>
      <c r="EA159">
        <v>8</v>
      </c>
      <c r="EB159">
        <v>0</v>
      </c>
      <c r="EC159">
        <v>0</v>
      </c>
      <c r="ED159">
        <v>0</v>
      </c>
      <c r="EE159">
        <v>0</v>
      </c>
      <c r="EF159">
        <v>1</v>
      </c>
      <c r="EG159">
        <v>0</v>
      </c>
      <c r="EH159">
        <v>13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0</v>
      </c>
      <c r="ET159">
        <v>0</v>
      </c>
    </row>
    <row r="160" spans="1:150" ht="12.75">
      <c r="A160">
        <v>155</v>
      </c>
      <c r="B160" t="str">
        <f t="shared" si="30"/>
        <v>060606</v>
      </c>
      <c r="C160" t="str">
        <f t="shared" si="31"/>
        <v>Kraśniczyn</v>
      </c>
      <c r="D160" t="str">
        <f t="shared" si="26"/>
        <v>krasnostawski</v>
      </c>
      <c r="E160" t="str">
        <f t="shared" si="27"/>
        <v>lubelskie</v>
      </c>
      <c r="F160">
        <v>6</v>
      </c>
      <c r="G160" t="str">
        <f>"Remiza OSP, Czajki 53, 22-310 Kraśniczyn"</f>
        <v>Remiza OSP, Czajki 53, 22-310 Kraśniczyn</v>
      </c>
      <c r="H160">
        <v>271</v>
      </c>
      <c r="I160">
        <v>271</v>
      </c>
      <c r="J160">
        <v>0</v>
      </c>
      <c r="K160">
        <v>200</v>
      </c>
      <c r="L160">
        <v>147</v>
      </c>
      <c r="M160">
        <v>53</v>
      </c>
      <c r="N160">
        <v>53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53</v>
      </c>
      <c r="Z160">
        <v>0</v>
      </c>
      <c r="AA160">
        <v>0</v>
      </c>
      <c r="AB160">
        <v>53</v>
      </c>
      <c r="AC160">
        <v>3</v>
      </c>
      <c r="AD160">
        <v>50</v>
      </c>
      <c r="AE160">
        <v>2</v>
      </c>
      <c r="AF160">
        <v>1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1</v>
      </c>
      <c r="AP160">
        <v>2</v>
      </c>
      <c r="AQ160">
        <v>2</v>
      </c>
      <c r="AR160">
        <v>1</v>
      </c>
      <c r="AS160">
        <v>1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2</v>
      </c>
      <c r="BC160">
        <v>1</v>
      </c>
      <c r="BD160">
        <v>1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1</v>
      </c>
      <c r="BO160">
        <v>19</v>
      </c>
      <c r="BP160">
        <v>2</v>
      </c>
      <c r="BQ160">
        <v>8</v>
      </c>
      <c r="BR160">
        <v>6</v>
      </c>
      <c r="BS160">
        <v>2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1</v>
      </c>
      <c r="BZ160">
        <v>19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1</v>
      </c>
      <c r="CZ160">
        <v>0</v>
      </c>
      <c r="DA160">
        <v>0</v>
      </c>
      <c r="DB160">
        <v>0</v>
      </c>
      <c r="DC160">
        <v>1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1</v>
      </c>
      <c r="DK160">
        <v>3</v>
      </c>
      <c r="DL160">
        <v>0</v>
      </c>
      <c r="DM160">
        <v>0</v>
      </c>
      <c r="DN160">
        <v>2</v>
      </c>
      <c r="DO160">
        <v>0</v>
      </c>
      <c r="DP160">
        <v>0</v>
      </c>
      <c r="DQ160">
        <v>0</v>
      </c>
      <c r="DR160">
        <v>1</v>
      </c>
      <c r="DS160">
        <v>0</v>
      </c>
      <c r="DT160">
        <v>0</v>
      </c>
      <c r="DU160">
        <v>0</v>
      </c>
      <c r="DV160">
        <v>3</v>
      </c>
      <c r="DW160">
        <v>22</v>
      </c>
      <c r="DX160">
        <v>3</v>
      </c>
      <c r="DY160">
        <v>9</v>
      </c>
      <c r="DZ160">
        <v>1</v>
      </c>
      <c r="EA160">
        <v>9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22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0</v>
      </c>
      <c r="EQ160">
        <v>0</v>
      </c>
      <c r="ER160">
        <v>0</v>
      </c>
      <c r="ES160">
        <v>0</v>
      </c>
      <c r="ET160">
        <v>0</v>
      </c>
    </row>
    <row r="161" spans="1:150" ht="12.75">
      <c r="A161">
        <v>156</v>
      </c>
      <c r="B161" t="str">
        <f t="shared" si="30"/>
        <v>060606</v>
      </c>
      <c r="C161" t="str">
        <f t="shared" si="31"/>
        <v>Kraśniczyn</v>
      </c>
      <c r="D161" t="str">
        <f aca="true" t="shared" si="32" ref="D161:D187">"krasnostawski"</f>
        <v>krasnostawski</v>
      </c>
      <c r="E161" t="str">
        <f t="shared" si="27"/>
        <v>lubelskie</v>
      </c>
      <c r="F161">
        <v>7</v>
      </c>
      <c r="G161" t="str">
        <f>"Szkoła Podstawowa, Surhów 1, 22-310 Kraśniczyn"</f>
        <v>Szkoła Podstawowa, Surhów 1, 22-310 Kraśniczyn</v>
      </c>
      <c r="H161">
        <v>721</v>
      </c>
      <c r="I161">
        <v>721</v>
      </c>
      <c r="J161">
        <v>0</v>
      </c>
      <c r="K161">
        <v>528</v>
      </c>
      <c r="L161">
        <v>415</v>
      </c>
      <c r="M161">
        <v>113</v>
      </c>
      <c r="N161">
        <v>113</v>
      </c>
      <c r="O161">
        <v>0</v>
      </c>
      <c r="P161">
        <v>0</v>
      </c>
      <c r="Q161">
        <v>2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113</v>
      </c>
      <c r="Z161">
        <v>0</v>
      </c>
      <c r="AA161">
        <v>0</v>
      </c>
      <c r="AB161">
        <v>113</v>
      </c>
      <c r="AC161">
        <v>1</v>
      </c>
      <c r="AD161">
        <v>112</v>
      </c>
      <c r="AE161">
        <v>7</v>
      </c>
      <c r="AF161">
        <v>0</v>
      </c>
      <c r="AG161">
        <v>0</v>
      </c>
      <c r="AH161">
        <v>3</v>
      </c>
      <c r="AI161">
        <v>0</v>
      </c>
      <c r="AJ161">
        <v>1</v>
      </c>
      <c r="AK161">
        <v>1</v>
      </c>
      <c r="AL161">
        <v>0</v>
      </c>
      <c r="AM161">
        <v>0</v>
      </c>
      <c r="AN161">
        <v>0</v>
      </c>
      <c r="AO161">
        <v>2</v>
      </c>
      <c r="AP161">
        <v>7</v>
      </c>
      <c r="AQ161">
        <v>3</v>
      </c>
      <c r="AR161">
        <v>2</v>
      </c>
      <c r="AS161">
        <v>0</v>
      </c>
      <c r="AT161">
        <v>0</v>
      </c>
      <c r="AU161">
        <v>1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3</v>
      </c>
      <c r="BC161">
        <v>7</v>
      </c>
      <c r="BD161">
        <v>0</v>
      </c>
      <c r="BE161">
        <v>1</v>
      </c>
      <c r="BF161">
        <v>0</v>
      </c>
      <c r="BG161">
        <v>0</v>
      </c>
      <c r="BH161">
        <v>3</v>
      </c>
      <c r="BI161">
        <v>0</v>
      </c>
      <c r="BJ161">
        <v>0</v>
      </c>
      <c r="BK161">
        <v>3</v>
      </c>
      <c r="BL161">
        <v>0</v>
      </c>
      <c r="BM161">
        <v>0</v>
      </c>
      <c r="BN161">
        <v>7</v>
      </c>
      <c r="BO161">
        <v>48</v>
      </c>
      <c r="BP161">
        <v>13</v>
      </c>
      <c r="BQ161">
        <v>19</v>
      </c>
      <c r="BR161">
        <v>6</v>
      </c>
      <c r="BS161">
        <v>5</v>
      </c>
      <c r="BT161">
        <v>0</v>
      </c>
      <c r="BU161">
        <v>1</v>
      </c>
      <c r="BV161">
        <v>1</v>
      </c>
      <c r="BW161">
        <v>3</v>
      </c>
      <c r="BX161">
        <v>0</v>
      </c>
      <c r="BY161">
        <v>0</v>
      </c>
      <c r="BZ161">
        <v>48</v>
      </c>
      <c r="CA161">
        <v>2</v>
      </c>
      <c r="CB161">
        <v>0</v>
      </c>
      <c r="CC161">
        <v>0</v>
      </c>
      <c r="CD161">
        <v>1</v>
      </c>
      <c r="CE161">
        <v>1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2</v>
      </c>
      <c r="CM161">
        <v>5</v>
      </c>
      <c r="CN161">
        <v>2</v>
      </c>
      <c r="CO161">
        <v>0</v>
      </c>
      <c r="CP161">
        <v>0</v>
      </c>
      <c r="CQ161">
        <v>1</v>
      </c>
      <c r="CR161">
        <v>0</v>
      </c>
      <c r="CS161">
        <v>0</v>
      </c>
      <c r="CT161">
        <v>2</v>
      </c>
      <c r="CU161">
        <v>0</v>
      </c>
      <c r="CV161">
        <v>0</v>
      </c>
      <c r="CW161">
        <v>0</v>
      </c>
      <c r="CX161">
        <v>5</v>
      </c>
      <c r="CY161">
        <v>5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1</v>
      </c>
      <c r="DH161">
        <v>1</v>
      </c>
      <c r="DI161">
        <v>3</v>
      </c>
      <c r="DJ161">
        <v>5</v>
      </c>
      <c r="DK161">
        <v>7</v>
      </c>
      <c r="DL161">
        <v>2</v>
      </c>
      <c r="DM161">
        <v>0</v>
      </c>
      <c r="DN161">
        <v>0</v>
      </c>
      <c r="DO161">
        <v>0</v>
      </c>
      <c r="DP161">
        <v>5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7</v>
      </c>
      <c r="DW161">
        <v>25</v>
      </c>
      <c r="DX161">
        <v>2</v>
      </c>
      <c r="DY161">
        <v>9</v>
      </c>
      <c r="DZ161">
        <v>2</v>
      </c>
      <c r="EA161">
        <v>11</v>
      </c>
      <c r="EB161">
        <v>0</v>
      </c>
      <c r="EC161">
        <v>0</v>
      </c>
      <c r="ED161">
        <v>0</v>
      </c>
      <c r="EE161">
        <v>1</v>
      </c>
      <c r="EF161">
        <v>0</v>
      </c>
      <c r="EG161">
        <v>0</v>
      </c>
      <c r="EH161">
        <v>25</v>
      </c>
      <c r="EI161">
        <v>3</v>
      </c>
      <c r="EJ161">
        <v>0</v>
      </c>
      <c r="EK161">
        <v>0</v>
      </c>
      <c r="EL161">
        <v>2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1</v>
      </c>
      <c r="ET161">
        <v>3</v>
      </c>
    </row>
    <row r="162" spans="1:150" ht="12.75">
      <c r="A162">
        <v>157</v>
      </c>
      <c r="B162" t="str">
        <f t="shared" si="30"/>
        <v>060606</v>
      </c>
      <c r="C162" t="str">
        <f t="shared" si="31"/>
        <v>Kraśniczyn</v>
      </c>
      <c r="D162" t="str">
        <f t="shared" si="32"/>
        <v>krasnostawski</v>
      </c>
      <c r="E162" t="str">
        <f t="shared" si="27"/>
        <v>lubelskie</v>
      </c>
      <c r="F162">
        <v>8</v>
      </c>
      <c r="G162" t="str">
        <f>"Remiza OSP, Chełmiec 50, 22-310 Kraśniczyn"</f>
        <v>Remiza OSP, Chełmiec 50, 22-310 Kraśniczyn</v>
      </c>
      <c r="H162">
        <v>139</v>
      </c>
      <c r="I162">
        <v>139</v>
      </c>
      <c r="J162">
        <v>0</v>
      </c>
      <c r="K162">
        <v>100</v>
      </c>
      <c r="L162">
        <v>54</v>
      </c>
      <c r="M162">
        <v>46</v>
      </c>
      <c r="N162">
        <v>46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46</v>
      </c>
      <c r="Z162">
        <v>0</v>
      </c>
      <c r="AA162">
        <v>0</v>
      </c>
      <c r="AB162">
        <v>46</v>
      </c>
      <c r="AC162">
        <v>4</v>
      </c>
      <c r="AD162">
        <v>42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1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1</v>
      </c>
      <c r="AZ162">
        <v>0</v>
      </c>
      <c r="BA162">
        <v>0</v>
      </c>
      <c r="BB162">
        <v>1</v>
      </c>
      <c r="BC162">
        <v>3</v>
      </c>
      <c r="BD162">
        <v>1</v>
      </c>
      <c r="BE162">
        <v>0</v>
      </c>
      <c r="BF162">
        <v>0</v>
      </c>
      <c r="BG162">
        <v>0</v>
      </c>
      <c r="BH162">
        <v>1</v>
      </c>
      <c r="BI162">
        <v>0</v>
      </c>
      <c r="BJ162">
        <v>0</v>
      </c>
      <c r="BK162">
        <v>0</v>
      </c>
      <c r="BL162">
        <v>1</v>
      </c>
      <c r="BM162">
        <v>0</v>
      </c>
      <c r="BN162">
        <v>3</v>
      </c>
      <c r="BO162">
        <v>14</v>
      </c>
      <c r="BP162">
        <v>2</v>
      </c>
      <c r="BQ162">
        <v>7</v>
      </c>
      <c r="BR162">
        <v>1</v>
      </c>
      <c r="BS162">
        <v>4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14</v>
      </c>
      <c r="CA162">
        <v>3</v>
      </c>
      <c r="CB162">
        <v>0</v>
      </c>
      <c r="CC162">
        <v>1</v>
      </c>
      <c r="CD162">
        <v>0</v>
      </c>
      <c r="CE162">
        <v>1</v>
      </c>
      <c r="CF162">
        <v>0</v>
      </c>
      <c r="CG162">
        <v>0</v>
      </c>
      <c r="CH162">
        <v>0</v>
      </c>
      <c r="CI162">
        <v>1</v>
      </c>
      <c r="CJ162">
        <v>0</v>
      </c>
      <c r="CK162">
        <v>0</v>
      </c>
      <c r="CL162">
        <v>3</v>
      </c>
      <c r="CM162">
        <v>1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1</v>
      </c>
      <c r="CV162">
        <v>0</v>
      </c>
      <c r="CW162">
        <v>0</v>
      </c>
      <c r="CX162">
        <v>1</v>
      </c>
      <c r="CY162">
        <v>3</v>
      </c>
      <c r="CZ162">
        <v>1</v>
      </c>
      <c r="DA162">
        <v>1</v>
      </c>
      <c r="DB162">
        <v>0</v>
      </c>
      <c r="DC162">
        <v>1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3</v>
      </c>
      <c r="DK162">
        <v>4</v>
      </c>
      <c r="DL162">
        <v>1</v>
      </c>
      <c r="DM162">
        <v>0</v>
      </c>
      <c r="DN162">
        <v>0</v>
      </c>
      <c r="DO162">
        <v>0</v>
      </c>
      <c r="DP162">
        <v>3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4</v>
      </c>
      <c r="DW162">
        <v>13</v>
      </c>
      <c r="DX162">
        <v>0</v>
      </c>
      <c r="DY162">
        <v>1</v>
      </c>
      <c r="DZ162">
        <v>0</v>
      </c>
      <c r="EA162">
        <v>11</v>
      </c>
      <c r="EB162">
        <v>0</v>
      </c>
      <c r="EC162">
        <v>0</v>
      </c>
      <c r="ED162">
        <v>0</v>
      </c>
      <c r="EE162">
        <v>1</v>
      </c>
      <c r="EF162">
        <v>0</v>
      </c>
      <c r="EG162">
        <v>0</v>
      </c>
      <c r="EH162">
        <v>13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0</v>
      </c>
      <c r="ET162">
        <v>0</v>
      </c>
    </row>
    <row r="163" spans="1:150" ht="12.75">
      <c r="A163">
        <v>158</v>
      </c>
      <c r="B163" t="str">
        <f t="shared" si="30"/>
        <v>060606</v>
      </c>
      <c r="C163" t="str">
        <f t="shared" si="31"/>
        <v>Kraśniczyn</v>
      </c>
      <c r="D163" t="str">
        <f t="shared" si="32"/>
        <v>krasnostawski</v>
      </c>
      <c r="E163" t="str">
        <f t="shared" si="27"/>
        <v>lubelskie</v>
      </c>
      <c r="F163">
        <v>9</v>
      </c>
      <c r="G163" t="str">
        <f>"Remiza OSP, Łukaszówka 18, 22-310 Kraśniczyn"</f>
        <v>Remiza OSP, Łukaszówka 18, 22-310 Kraśniczyn</v>
      </c>
      <c r="H163">
        <v>67</v>
      </c>
      <c r="I163">
        <v>67</v>
      </c>
      <c r="J163">
        <v>0</v>
      </c>
      <c r="K163">
        <v>50</v>
      </c>
      <c r="L163">
        <v>24</v>
      </c>
      <c r="M163">
        <v>26</v>
      </c>
      <c r="N163">
        <v>26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26</v>
      </c>
      <c r="Z163">
        <v>0</v>
      </c>
      <c r="AA163">
        <v>0</v>
      </c>
      <c r="AB163">
        <v>26</v>
      </c>
      <c r="AC163">
        <v>0</v>
      </c>
      <c r="AD163">
        <v>26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4</v>
      </c>
      <c r="BD163">
        <v>0</v>
      </c>
      <c r="BE163">
        <v>1</v>
      </c>
      <c r="BF163">
        <v>2</v>
      </c>
      <c r="BG163">
        <v>0</v>
      </c>
      <c r="BH163">
        <v>0</v>
      </c>
      <c r="BI163">
        <v>1</v>
      </c>
      <c r="BJ163">
        <v>0</v>
      </c>
      <c r="BK163">
        <v>0</v>
      </c>
      <c r="BL163">
        <v>0</v>
      </c>
      <c r="BM163">
        <v>0</v>
      </c>
      <c r="BN163">
        <v>4</v>
      </c>
      <c r="BO163">
        <v>10</v>
      </c>
      <c r="BP163">
        <v>5</v>
      </c>
      <c r="BQ163">
        <v>3</v>
      </c>
      <c r="BR163">
        <v>1</v>
      </c>
      <c r="BS163">
        <v>1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10</v>
      </c>
      <c r="CA163">
        <v>2</v>
      </c>
      <c r="CB163">
        <v>1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1</v>
      </c>
      <c r="CI163">
        <v>0</v>
      </c>
      <c r="CJ163">
        <v>0</v>
      </c>
      <c r="CK163">
        <v>0</v>
      </c>
      <c r="CL163">
        <v>2</v>
      </c>
      <c r="CM163">
        <v>2</v>
      </c>
      <c r="CN163">
        <v>2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2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8</v>
      </c>
      <c r="DX163">
        <v>3</v>
      </c>
      <c r="DY163">
        <v>2</v>
      </c>
      <c r="DZ163">
        <v>1</v>
      </c>
      <c r="EA163">
        <v>2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8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0</v>
      </c>
      <c r="ER163">
        <v>0</v>
      </c>
      <c r="ES163">
        <v>0</v>
      </c>
      <c r="ET163">
        <v>0</v>
      </c>
    </row>
    <row r="164" spans="1:150" ht="12.75">
      <c r="A164">
        <v>159</v>
      </c>
      <c r="B164" t="str">
        <f t="shared" si="30"/>
        <v>060606</v>
      </c>
      <c r="C164" t="str">
        <f t="shared" si="31"/>
        <v>Kraśniczyn</v>
      </c>
      <c r="D164" t="str">
        <f t="shared" si="32"/>
        <v>krasnostawski</v>
      </c>
      <c r="E164" t="str">
        <f t="shared" si="27"/>
        <v>lubelskie</v>
      </c>
      <c r="F164">
        <v>10</v>
      </c>
      <c r="G164" t="str">
        <f>"Bończa-Kolonia DPS, Bończa-Kolonia 71, 22-310 Kraśniczyn"</f>
        <v>Bończa-Kolonia DPS, Bończa-Kolonia 71, 22-310 Kraśniczyn</v>
      </c>
      <c r="H164">
        <v>59</v>
      </c>
      <c r="I164">
        <v>59</v>
      </c>
      <c r="J164">
        <v>0</v>
      </c>
      <c r="K164">
        <v>71</v>
      </c>
      <c r="L164">
        <v>17</v>
      </c>
      <c r="M164">
        <v>54</v>
      </c>
      <c r="N164">
        <v>54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54</v>
      </c>
      <c r="Z164">
        <v>0</v>
      </c>
      <c r="AA164">
        <v>0</v>
      </c>
      <c r="AB164">
        <v>54</v>
      </c>
      <c r="AC164">
        <v>5</v>
      </c>
      <c r="AD164">
        <v>49</v>
      </c>
      <c r="AE164">
        <v>6</v>
      </c>
      <c r="AF164">
        <v>2</v>
      </c>
      <c r="AG164">
        <v>1</v>
      </c>
      <c r="AH164">
        <v>0</v>
      </c>
      <c r="AI164">
        <v>2</v>
      </c>
      <c r="AJ164">
        <v>0</v>
      </c>
      <c r="AK164">
        <v>0</v>
      </c>
      <c r="AL164">
        <v>0</v>
      </c>
      <c r="AM164">
        <v>1</v>
      </c>
      <c r="AN164">
        <v>0</v>
      </c>
      <c r="AO164">
        <v>0</v>
      </c>
      <c r="AP164">
        <v>6</v>
      </c>
      <c r="AQ164">
        <v>1</v>
      </c>
      <c r="AR164">
        <v>0</v>
      </c>
      <c r="AS164">
        <v>1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1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1</v>
      </c>
      <c r="BP164">
        <v>0</v>
      </c>
      <c r="BQ164">
        <v>1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1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1</v>
      </c>
      <c r="CZ164">
        <v>1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1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40</v>
      </c>
      <c r="DX164">
        <v>0</v>
      </c>
      <c r="DY164">
        <v>39</v>
      </c>
      <c r="DZ164">
        <v>1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40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</row>
    <row r="165" spans="1:150" ht="12.75">
      <c r="A165">
        <v>160</v>
      </c>
      <c r="B165" t="str">
        <f t="shared" si="30"/>
        <v>060606</v>
      </c>
      <c r="C165" t="str">
        <f t="shared" si="31"/>
        <v>Kraśniczyn</v>
      </c>
      <c r="D165" t="str">
        <f t="shared" si="32"/>
        <v>krasnostawski</v>
      </c>
      <c r="E165" t="str">
        <f t="shared" si="27"/>
        <v>lubelskie</v>
      </c>
      <c r="F165">
        <v>11</v>
      </c>
      <c r="G165" t="str">
        <f>"Surhów-Kolonia DPS, Surhów-Kolonia 3, 22-310 Kraśniczyn"</f>
        <v>Surhów-Kolonia DPS, Surhów-Kolonia 3, 22-310 Kraśniczyn</v>
      </c>
      <c r="H165">
        <v>42</v>
      </c>
      <c r="I165">
        <v>42</v>
      </c>
      <c r="J165">
        <v>0</v>
      </c>
      <c r="K165">
        <v>37</v>
      </c>
      <c r="L165">
        <v>20</v>
      </c>
      <c r="M165">
        <v>17</v>
      </c>
      <c r="N165">
        <v>17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17</v>
      </c>
      <c r="Z165">
        <v>0</v>
      </c>
      <c r="AA165">
        <v>0</v>
      </c>
      <c r="AB165">
        <v>17</v>
      </c>
      <c r="AC165">
        <v>3</v>
      </c>
      <c r="AD165">
        <v>14</v>
      </c>
      <c r="AE165">
        <v>1</v>
      </c>
      <c r="AF165">
        <v>1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1</v>
      </c>
      <c r="AQ165">
        <v>1</v>
      </c>
      <c r="AR165">
        <v>0</v>
      </c>
      <c r="AS165">
        <v>0</v>
      </c>
      <c r="AT165">
        <v>0</v>
      </c>
      <c r="AU165">
        <v>1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1</v>
      </c>
      <c r="BC165">
        <v>1</v>
      </c>
      <c r="BD165">
        <v>0</v>
      </c>
      <c r="BE165">
        <v>0</v>
      </c>
      <c r="BF165">
        <v>0</v>
      </c>
      <c r="BG165">
        <v>0</v>
      </c>
      <c r="BH165">
        <v>1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1</v>
      </c>
      <c r="BO165">
        <v>4</v>
      </c>
      <c r="BP165">
        <v>1</v>
      </c>
      <c r="BQ165">
        <v>1</v>
      </c>
      <c r="BR165">
        <v>1</v>
      </c>
      <c r="BS165">
        <v>0</v>
      </c>
      <c r="BT165">
        <v>0</v>
      </c>
      <c r="BU165">
        <v>0</v>
      </c>
      <c r="BV165">
        <v>1</v>
      </c>
      <c r="BW165">
        <v>0</v>
      </c>
      <c r="BX165">
        <v>0</v>
      </c>
      <c r="BY165">
        <v>0</v>
      </c>
      <c r="BZ165">
        <v>4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1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1</v>
      </c>
      <c r="DJ165">
        <v>1</v>
      </c>
      <c r="DK165">
        <v>4</v>
      </c>
      <c r="DL165">
        <v>0</v>
      </c>
      <c r="DM165">
        <v>2</v>
      </c>
      <c r="DN165">
        <v>1</v>
      </c>
      <c r="DO165">
        <v>0</v>
      </c>
      <c r="DP165">
        <v>0</v>
      </c>
      <c r="DQ165">
        <v>0</v>
      </c>
      <c r="DR165">
        <v>1</v>
      </c>
      <c r="DS165">
        <v>0</v>
      </c>
      <c r="DT165">
        <v>0</v>
      </c>
      <c r="DU165">
        <v>0</v>
      </c>
      <c r="DV165">
        <v>4</v>
      </c>
      <c r="DW165">
        <v>1</v>
      </c>
      <c r="DX165">
        <v>0</v>
      </c>
      <c r="DY165">
        <v>1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1</v>
      </c>
      <c r="EI165">
        <v>1</v>
      </c>
      <c r="EJ165">
        <v>0</v>
      </c>
      <c r="EK165">
        <v>1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0</v>
      </c>
      <c r="ET165">
        <v>1</v>
      </c>
    </row>
    <row r="166" spans="1:150" ht="12.75">
      <c r="A166">
        <v>161</v>
      </c>
      <c r="B166" t="str">
        <f>"060607"</f>
        <v>060607</v>
      </c>
      <c r="C166" t="str">
        <f>"Łopiennik Górny"</f>
        <v>Łopiennik Górny</v>
      </c>
      <c r="D166" t="str">
        <f t="shared" si="32"/>
        <v>krasnostawski</v>
      </c>
      <c r="E166" t="str">
        <f t="shared" si="27"/>
        <v>lubelskie</v>
      </c>
      <c r="F166">
        <v>1</v>
      </c>
      <c r="G166" t="str">
        <f>"Budynek biblioteki, Łopiennik Górny 1C, 22-351 Łopiennik Górny"</f>
        <v>Budynek biblioteki, Łopiennik Górny 1C, 22-351 Łopiennik Górny</v>
      </c>
      <c r="H166">
        <v>1495</v>
      </c>
      <c r="I166">
        <v>1495</v>
      </c>
      <c r="J166">
        <v>0</v>
      </c>
      <c r="K166">
        <v>1051</v>
      </c>
      <c r="L166">
        <v>859</v>
      </c>
      <c r="M166">
        <v>192</v>
      </c>
      <c r="N166">
        <v>192</v>
      </c>
      <c r="O166">
        <v>0</v>
      </c>
      <c r="P166">
        <v>1</v>
      </c>
      <c r="Q166">
        <v>1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192</v>
      </c>
      <c r="Z166">
        <v>0</v>
      </c>
      <c r="AA166">
        <v>0</v>
      </c>
      <c r="AB166">
        <v>192</v>
      </c>
      <c r="AC166">
        <v>8</v>
      </c>
      <c r="AD166">
        <v>184</v>
      </c>
      <c r="AE166">
        <v>5</v>
      </c>
      <c r="AF166">
        <v>1</v>
      </c>
      <c r="AG166">
        <v>0</v>
      </c>
      <c r="AH166">
        <v>0</v>
      </c>
      <c r="AI166">
        <v>0</v>
      </c>
      <c r="AJ166">
        <v>3</v>
      </c>
      <c r="AK166">
        <v>0</v>
      </c>
      <c r="AL166">
        <v>0</v>
      </c>
      <c r="AM166">
        <v>0</v>
      </c>
      <c r="AN166">
        <v>0</v>
      </c>
      <c r="AO166">
        <v>1</v>
      </c>
      <c r="AP166">
        <v>5</v>
      </c>
      <c r="AQ166">
        <v>8</v>
      </c>
      <c r="AR166">
        <v>8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8</v>
      </c>
      <c r="BC166">
        <v>8</v>
      </c>
      <c r="BD166">
        <v>0</v>
      </c>
      <c r="BE166">
        <v>2</v>
      </c>
      <c r="BF166">
        <v>2</v>
      </c>
      <c r="BG166">
        <v>0</v>
      </c>
      <c r="BH166">
        <v>1</v>
      </c>
      <c r="BI166">
        <v>0</v>
      </c>
      <c r="BJ166">
        <v>0</v>
      </c>
      <c r="BK166">
        <v>3</v>
      </c>
      <c r="BL166">
        <v>0</v>
      </c>
      <c r="BM166">
        <v>0</v>
      </c>
      <c r="BN166">
        <v>8</v>
      </c>
      <c r="BO166">
        <v>93</v>
      </c>
      <c r="BP166">
        <v>41</v>
      </c>
      <c r="BQ166">
        <v>32</v>
      </c>
      <c r="BR166">
        <v>9</v>
      </c>
      <c r="BS166">
        <v>3</v>
      </c>
      <c r="BT166">
        <v>0</v>
      </c>
      <c r="BU166">
        <v>0</v>
      </c>
      <c r="BV166">
        <v>0</v>
      </c>
      <c r="BW166">
        <v>7</v>
      </c>
      <c r="BX166">
        <v>0</v>
      </c>
      <c r="BY166">
        <v>1</v>
      </c>
      <c r="BZ166">
        <v>93</v>
      </c>
      <c r="CA166">
        <v>3</v>
      </c>
      <c r="CB166">
        <v>2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1</v>
      </c>
      <c r="CI166">
        <v>0</v>
      </c>
      <c r="CJ166">
        <v>0</v>
      </c>
      <c r="CK166">
        <v>0</v>
      </c>
      <c r="CL166">
        <v>3</v>
      </c>
      <c r="CM166">
        <v>4</v>
      </c>
      <c r="CN166">
        <v>3</v>
      </c>
      <c r="CO166">
        <v>1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4</v>
      </c>
      <c r="CY166">
        <v>8</v>
      </c>
      <c r="CZ166">
        <v>4</v>
      </c>
      <c r="DA166">
        <v>0</v>
      </c>
      <c r="DB166">
        <v>0</v>
      </c>
      <c r="DC166">
        <v>0</v>
      </c>
      <c r="DD166">
        <v>0</v>
      </c>
      <c r="DE166">
        <v>1</v>
      </c>
      <c r="DF166">
        <v>0</v>
      </c>
      <c r="DG166">
        <v>0</v>
      </c>
      <c r="DH166">
        <v>0</v>
      </c>
      <c r="DI166">
        <v>3</v>
      </c>
      <c r="DJ166">
        <v>8</v>
      </c>
      <c r="DK166">
        <v>31</v>
      </c>
      <c r="DL166">
        <v>12</v>
      </c>
      <c r="DM166">
        <v>5</v>
      </c>
      <c r="DN166">
        <v>0</v>
      </c>
      <c r="DO166">
        <v>2</v>
      </c>
      <c r="DP166">
        <v>6</v>
      </c>
      <c r="DQ166">
        <v>0</v>
      </c>
      <c r="DR166">
        <v>0</v>
      </c>
      <c r="DS166">
        <v>0</v>
      </c>
      <c r="DT166">
        <v>3</v>
      </c>
      <c r="DU166">
        <v>3</v>
      </c>
      <c r="DV166">
        <v>31</v>
      </c>
      <c r="DW166">
        <v>24</v>
      </c>
      <c r="DX166">
        <v>4</v>
      </c>
      <c r="DY166">
        <v>9</v>
      </c>
      <c r="DZ166">
        <v>1</v>
      </c>
      <c r="EA166">
        <v>8</v>
      </c>
      <c r="EB166">
        <v>2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24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0</v>
      </c>
    </row>
    <row r="167" spans="1:150" ht="12.75">
      <c r="A167">
        <v>162</v>
      </c>
      <c r="B167" t="str">
        <f>"060607"</f>
        <v>060607</v>
      </c>
      <c r="C167" t="str">
        <f>"Łopiennik Górny"</f>
        <v>Łopiennik Górny</v>
      </c>
      <c r="D167" t="str">
        <f t="shared" si="32"/>
        <v>krasnostawski</v>
      </c>
      <c r="E167" t="str">
        <f t="shared" si="27"/>
        <v>lubelskie</v>
      </c>
      <c r="F167">
        <v>2</v>
      </c>
      <c r="G167" t="str">
        <f>"Remiza OSP, Krzywe 101, 22-351 Łopiennik Górny"</f>
        <v>Remiza OSP, Krzywe 101, 22-351 Łopiennik Górny</v>
      </c>
      <c r="H167">
        <v>541</v>
      </c>
      <c r="I167">
        <v>541</v>
      </c>
      <c r="J167">
        <v>0</v>
      </c>
      <c r="K167">
        <v>380</v>
      </c>
      <c r="L167">
        <v>313</v>
      </c>
      <c r="M167">
        <v>67</v>
      </c>
      <c r="N167">
        <v>67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67</v>
      </c>
      <c r="Z167">
        <v>0</v>
      </c>
      <c r="AA167">
        <v>0</v>
      </c>
      <c r="AB167">
        <v>67</v>
      </c>
      <c r="AC167">
        <v>3</v>
      </c>
      <c r="AD167">
        <v>64</v>
      </c>
      <c r="AE167">
        <v>4</v>
      </c>
      <c r="AF167">
        <v>0</v>
      </c>
      <c r="AG167">
        <v>0</v>
      </c>
      <c r="AH167">
        <v>0</v>
      </c>
      <c r="AI167">
        <v>0</v>
      </c>
      <c r="AJ167">
        <v>3</v>
      </c>
      <c r="AK167">
        <v>1</v>
      </c>
      <c r="AL167">
        <v>0</v>
      </c>
      <c r="AM167">
        <v>0</v>
      </c>
      <c r="AN167">
        <v>0</v>
      </c>
      <c r="AO167">
        <v>0</v>
      </c>
      <c r="AP167">
        <v>4</v>
      </c>
      <c r="AQ167">
        <v>1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1</v>
      </c>
      <c r="AZ167">
        <v>0</v>
      </c>
      <c r="BA167">
        <v>0</v>
      </c>
      <c r="BB167">
        <v>1</v>
      </c>
      <c r="BC167">
        <v>2</v>
      </c>
      <c r="BD167">
        <v>0</v>
      </c>
      <c r="BE167">
        <v>0</v>
      </c>
      <c r="BF167">
        <v>0</v>
      </c>
      <c r="BG167">
        <v>0</v>
      </c>
      <c r="BH167">
        <v>1</v>
      </c>
      <c r="BI167">
        <v>0</v>
      </c>
      <c r="BJ167">
        <v>1</v>
      </c>
      <c r="BK167">
        <v>0</v>
      </c>
      <c r="BL167">
        <v>0</v>
      </c>
      <c r="BM167">
        <v>0</v>
      </c>
      <c r="BN167">
        <v>2</v>
      </c>
      <c r="BO167">
        <v>32</v>
      </c>
      <c r="BP167">
        <v>8</v>
      </c>
      <c r="BQ167">
        <v>19</v>
      </c>
      <c r="BR167">
        <v>1</v>
      </c>
      <c r="BS167">
        <v>2</v>
      </c>
      <c r="BT167">
        <v>0</v>
      </c>
      <c r="BU167">
        <v>0</v>
      </c>
      <c r="BV167">
        <v>0</v>
      </c>
      <c r="BW167">
        <v>1</v>
      </c>
      <c r="BX167">
        <v>0</v>
      </c>
      <c r="BY167">
        <v>1</v>
      </c>
      <c r="BZ167">
        <v>32</v>
      </c>
      <c r="CA167">
        <v>1</v>
      </c>
      <c r="CB167">
        <v>0</v>
      </c>
      <c r="CC167">
        <v>0</v>
      </c>
      <c r="CD167">
        <v>0</v>
      </c>
      <c r="CE167">
        <v>1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1</v>
      </c>
      <c r="CM167">
        <v>2</v>
      </c>
      <c r="CN167">
        <v>2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2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10</v>
      </c>
      <c r="DL167">
        <v>2</v>
      </c>
      <c r="DM167">
        <v>1</v>
      </c>
      <c r="DN167">
        <v>0</v>
      </c>
      <c r="DO167">
        <v>0</v>
      </c>
      <c r="DP167">
        <v>7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10</v>
      </c>
      <c r="DW167">
        <v>12</v>
      </c>
      <c r="DX167">
        <v>2</v>
      </c>
      <c r="DY167">
        <v>4</v>
      </c>
      <c r="DZ167">
        <v>0</v>
      </c>
      <c r="EA167">
        <v>6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12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0</v>
      </c>
      <c r="ET167">
        <v>0</v>
      </c>
    </row>
    <row r="168" spans="1:150" ht="12.75">
      <c r="A168">
        <v>163</v>
      </c>
      <c r="B168" t="str">
        <f>"060607"</f>
        <v>060607</v>
      </c>
      <c r="C168" t="str">
        <f>"Łopiennik Górny"</f>
        <v>Łopiennik Górny</v>
      </c>
      <c r="D168" t="str">
        <f t="shared" si="32"/>
        <v>krasnostawski</v>
      </c>
      <c r="E168" t="str">
        <f t="shared" si="27"/>
        <v>lubelskie</v>
      </c>
      <c r="F168">
        <v>3</v>
      </c>
      <c r="G168" t="str">
        <f>"Budynek szkoły, Łopiennik Dolny 56, 22-351 Łopiennik Górny"</f>
        <v>Budynek szkoły, Łopiennik Dolny 56, 22-351 Łopiennik Górny</v>
      </c>
      <c r="H168">
        <v>751</v>
      </c>
      <c r="I168">
        <v>751</v>
      </c>
      <c r="J168">
        <v>0</v>
      </c>
      <c r="K168">
        <v>530</v>
      </c>
      <c r="L168">
        <v>400</v>
      </c>
      <c r="M168">
        <v>130</v>
      </c>
      <c r="N168">
        <v>130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130</v>
      </c>
      <c r="Z168">
        <v>0</v>
      </c>
      <c r="AA168">
        <v>0</v>
      </c>
      <c r="AB168">
        <v>130</v>
      </c>
      <c r="AC168">
        <v>6</v>
      </c>
      <c r="AD168">
        <v>124</v>
      </c>
      <c r="AE168">
        <v>3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2</v>
      </c>
      <c r="AM168">
        <v>0</v>
      </c>
      <c r="AN168">
        <v>0</v>
      </c>
      <c r="AO168">
        <v>1</v>
      </c>
      <c r="AP168">
        <v>3</v>
      </c>
      <c r="AQ168">
        <v>1</v>
      </c>
      <c r="AR168">
        <v>1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1</v>
      </c>
      <c r="BC168">
        <v>4</v>
      </c>
      <c r="BD168">
        <v>4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4</v>
      </c>
      <c r="BO168">
        <v>76</v>
      </c>
      <c r="BP168">
        <v>28</v>
      </c>
      <c r="BQ168">
        <v>28</v>
      </c>
      <c r="BR168">
        <v>9</v>
      </c>
      <c r="BS168">
        <v>4</v>
      </c>
      <c r="BT168">
        <v>0</v>
      </c>
      <c r="BU168">
        <v>2</v>
      </c>
      <c r="BV168">
        <v>0</v>
      </c>
      <c r="BW168">
        <v>4</v>
      </c>
      <c r="BX168">
        <v>0</v>
      </c>
      <c r="BY168">
        <v>1</v>
      </c>
      <c r="BZ168">
        <v>76</v>
      </c>
      <c r="CA168">
        <v>3</v>
      </c>
      <c r="CB168">
        <v>0</v>
      </c>
      <c r="CC168">
        <v>2</v>
      </c>
      <c r="CD168">
        <v>0</v>
      </c>
      <c r="CE168">
        <v>0</v>
      </c>
      <c r="CF168">
        <v>0</v>
      </c>
      <c r="CG168">
        <v>1</v>
      </c>
      <c r="CH168">
        <v>0</v>
      </c>
      <c r="CI168">
        <v>0</v>
      </c>
      <c r="CJ168">
        <v>0</v>
      </c>
      <c r="CK168">
        <v>0</v>
      </c>
      <c r="CL168">
        <v>3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3</v>
      </c>
      <c r="CZ168">
        <v>1</v>
      </c>
      <c r="DA168">
        <v>0</v>
      </c>
      <c r="DB168">
        <v>0</v>
      </c>
      <c r="DC168">
        <v>0</v>
      </c>
      <c r="DD168">
        <v>1</v>
      </c>
      <c r="DE168">
        <v>0</v>
      </c>
      <c r="DF168">
        <v>0</v>
      </c>
      <c r="DG168">
        <v>0</v>
      </c>
      <c r="DH168">
        <v>0</v>
      </c>
      <c r="DI168">
        <v>1</v>
      </c>
      <c r="DJ168">
        <v>3</v>
      </c>
      <c r="DK168">
        <v>8</v>
      </c>
      <c r="DL168">
        <v>3</v>
      </c>
      <c r="DM168">
        <v>0</v>
      </c>
      <c r="DN168">
        <v>0</v>
      </c>
      <c r="DO168">
        <v>0</v>
      </c>
      <c r="DP168">
        <v>5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8</v>
      </c>
      <c r="DW168">
        <v>25</v>
      </c>
      <c r="DX168">
        <v>1</v>
      </c>
      <c r="DY168">
        <v>2</v>
      </c>
      <c r="DZ168">
        <v>1</v>
      </c>
      <c r="EA168">
        <v>21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25</v>
      </c>
      <c r="EI168">
        <v>1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1</v>
      </c>
      <c r="EP168">
        <v>0</v>
      </c>
      <c r="EQ168">
        <v>0</v>
      </c>
      <c r="ER168">
        <v>0</v>
      </c>
      <c r="ES168">
        <v>0</v>
      </c>
      <c r="ET168">
        <v>1</v>
      </c>
    </row>
    <row r="169" spans="1:150" ht="12.75">
      <c r="A169">
        <v>164</v>
      </c>
      <c r="B169" t="str">
        <f>"060607"</f>
        <v>060607</v>
      </c>
      <c r="C169" t="str">
        <f>"Łopiennik Górny"</f>
        <v>Łopiennik Górny</v>
      </c>
      <c r="D169" t="str">
        <f t="shared" si="32"/>
        <v>krasnostawski</v>
      </c>
      <c r="E169" t="str">
        <f t="shared" si="27"/>
        <v>lubelskie</v>
      </c>
      <c r="F169">
        <v>4</v>
      </c>
      <c r="G169" t="str">
        <f>"Budynek szkoły, Żulin 116, 22-351 Łopiennik Górny"</f>
        <v>Budynek szkoły, Żulin 116, 22-351 Łopiennik Górny</v>
      </c>
      <c r="H169">
        <v>655</v>
      </c>
      <c r="I169">
        <v>655</v>
      </c>
      <c r="J169">
        <v>0</v>
      </c>
      <c r="K169">
        <v>460</v>
      </c>
      <c r="L169">
        <v>400</v>
      </c>
      <c r="M169">
        <v>60</v>
      </c>
      <c r="N169">
        <v>60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60</v>
      </c>
      <c r="Z169">
        <v>0</v>
      </c>
      <c r="AA169">
        <v>0</v>
      </c>
      <c r="AB169">
        <v>60</v>
      </c>
      <c r="AC169">
        <v>1</v>
      </c>
      <c r="AD169">
        <v>59</v>
      </c>
      <c r="AE169">
        <v>2</v>
      </c>
      <c r="AF169">
        <v>2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2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2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1</v>
      </c>
      <c r="BL169">
        <v>0</v>
      </c>
      <c r="BM169">
        <v>1</v>
      </c>
      <c r="BN169">
        <v>2</v>
      </c>
      <c r="BO169">
        <v>14</v>
      </c>
      <c r="BP169">
        <v>0</v>
      </c>
      <c r="BQ169">
        <v>4</v>
      </c>
      <c r="BR169">
        <v>3</v>
      </c>
      <c r="BS169">
        <v>6</v>
      </c>
      <c r="BT169">
        <v>0</v>
      </c>
      <c r="BU169">
        <v>0</v>
      </c>
      <c r="BV169">
        <v>0</v>
      </c>
      <c r="BW169">
        <v>1</v>
      </c>
      <c r="BX169">
        <v>0</v>
      </c>
      <c r="BY169">
        <v>0</v>
      </c>
      <c r="BZ169">
        <v>14</v>
      </c>
      <c r="CA169">
        <v>3</v>
      </c>
      <c r="CB169">
        <v>2</v>
      </c>
      <c r="CC169">
        <v>0</v>
      </c>
      <c r="CD169">
        <v>0</v>
      </c>
      <c r="CE169">
        <v>0</v>
      </c>
      <c r="CF169">
        <v>0</v>
      </c>
      <c r="CG169">
        <v>1</v>
      </c>
      <c r="CH169">
        <v>0</v>
      </c>
      <c r="CI169">
        <v>0</v>
      </c>
      <c r="CJ169">
        <v>0</v>
      </c>
      <c r="CK169">
        <v>0</v>
      </c>
      <c r="CL169">
        <v>3</v>
      </c>
      <c r="CM169">
        <v>3</v>
      </c>
      <c r="CN169">
        <v>1</v>
      </c>
      <c r="CO169">
        <v>0</v>
      </c>
      <c r="CP169">
        <v>0</v>
      </c>
      <c r="CQ169">
        <v>0</v>
      </c>
      <c r="CR169">
        <v>0</v>
      </c>
      <c r="CS169">
        <v>2</v>
      </c>
      <c r="CT169">
        <v>0</v>
      </c>
      <c r="CU169">
        <v>0</v>
      </c>
      <c r="CV169">
        <v>0</v>
      </c>
      <c r="CW169">
        <v>0</v>
      </c>
      <c r="CX169">
        <v>3</v>
      </c>
      <c r="CY169">
        <v>2</v>
      </c>
      <c r="CZ169">
        <v>0</v>
      </c>
      <c r="DA169">
        <v>1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1</v>
      </c>
      <c r="DJ169">
        <v>2</v>
      </c>
      <c r="DK169">
        <v>7</v>
      </c>
      <c r="DL169">
        <v>1</v>
      </c>
      <c r="DM169">
        <v>3</v>
      </c>
      <c r="DN169">
        <v>0</v>
      </c>
      <c r="DO169">
        <v>0</v>
      </c>
      <c r="DP169">
        <v>3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7</v>
      </c>
      <c r="DW169">
        <v>25</v>
      </c>
      <c r="DX169">
        <v>1</v>
      </c>
      <c r="DY169">
        <v>3</v>
      </c>
      <c r="DZ169">
        <v>0</v>
      </c>
      <c r="EA169">
        <v>20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1</v>
      </c>
      <c r="EH169">
        <v>25</v>
      </c>
      <c r="EI169">
        <v>1</v>
      </c>
      <c r="EJ169">
        <v>1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0</v>
      </c>
      <c r="ES169">
        <v>0</v>
      </c>
      <c r="ET169">
        <v>1</v>
      </c>
    </row>
    <row r="170" spans="1:150" ht="12.75">
      <c r="A170">
        <v>165</v>
      </c>
      <c r="B170" t="str">
        <f>"060609"</f>
        <v>060609</v>
      </c>
      <c r="C170" t="str">
        <f>"Rudnik"</f>
        <v>Rudnik</v>
      </c>
      <c r="D170" t="str">
        <f t="shared" si="32"/>
        <v>krasnostawski</v>
      </c>
      <c r="E170" t="str">
        <f t="shared" si="27"/>
        <v>lubelskie</v>
      </c>
      <c r="F170">
        <v>1</v>
      </c>
      <c r="G170" t="str">
        <f>"Budynek Szkoły w Suszniu, Suszeń 11, 22-330 Rudnik"</f>
        <v>Budynek Szkoły w Suszniu, Suszeń 11, 22-330 Rudnik</v>
      </c>
      <c r="H170">
        <v>387</v>
      </c>
      <c r="I170">
        <v>387</v>
      </c>
      <c r="J170">
        <v>0</v>
      </c>
      <c r="K170">
        <v>270</v>
      </c>
      <c r="L170">
        <v>238</v>
      </c>
      <c r="M170">
        <v>32</v>
      </c>
      <c r="N170">
        <v>32</v>
      </c>
      <c r="O170">
        <v>0</v>
      </c>
      <c r="P170">
        <v>0</v>
      </c>
      <c r="Q170">
        <v>2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32</v>
      </c>
      <c r="Z170">
        <v>0</v>
      </c>
      <c r="AA170">
        <v>0</v>
      </c>
      <c r="AB170">
        <v>32</v>
      </c>
      <c r="AC170">
        <v>0</v>
      </c>
      <c r="AD170">
        <v>32</v>
      </c>
      <c r="AE170">
        <v>3</v>
      </c>
      <c r="AF170">
        <v>2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1</v>
      </c>
      <c r="AN170">
        <v>0</v>
      </c>
      <c r="AO170">
        <v>0</v>
      </c>
      <c r="AP170">
        <v>3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14</v>
      </c>
      <c r="BP170">
        <v>5</v>
      </c>
      <c r="BQ170">
        <v>6</v>
      </c>
      <c r="BR170">
        <v>3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14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2</v>
      </c>
      <c r="CN170">
        <v>2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2</v>
      </c>
      <c r="CY170">
        <v>3</v>
      </c>
      <c r="CZ170">
        <v>3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3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10</v>
      </c>
      <c r="DX170">
        <v>1</v>
      </c>
      <c r="DY170">
        <v>2</v>
      </c>
      <c r="DZ170">
        <v>0</v>
      </c>
      <c r="EA170">
        <v>7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10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0</v>
      </c>
      <c r="ET170">
        <v>0</v>
      </c>
    </row>
    <row r="171" spans="1:150" ht="12.75">
      <c r="A171">
        <v>166</v>
      </c>
      <c r="B171" t="str">
        <f>"060609"</f>
        <v>060609</v>
      </c>
      <c r="C171" t="str">
        <f>"Rudnik"</f>
        <v>Rudnik</v>
      </c>
      <c r="D171" t="str">
        <f t="shared" si="32"/>
        <v>krasnostawski</v>
      </c>
      <c r="E171" t="str">
        <f t="shared" si="27"/>
        <v>lubelskie</v>
      </c>
      <c r="F171">
        <v>2</v>
      </c>
      <c r="G171" t="str">
        <f>"Sala Gimnastyczna w Rudniku, Rudnik 70, 22-330 Rudnik"</f>
        <v>Sala Gimnastyczna w Rudniku, Rudnik 70, 22-330 Rudnik</v>
      </c>
      <c r="H171">
        <v>878</v>
      </c>
      <c r="I171">
        <v>878</v>
      </c>
      <c r="J171">
        <v>0</v>
      </c>
      <c r="K171">
        <v>630</v>
      </c>
      <c r="L171">
        <v>493</v>
      </c>
      <c r="M171">
        <v>137</v>
      </c>
      <c r="N171">
        <v>137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137</v>
      </c>
      <c r="Z171">
        <v>0</v>
      </c>
      <c r="AA171">
        <v>0</v>
      </c>
      <c r="AB171">
        <v>137</v>
      </c>
      <c r="AC171">
        <v>7</v>
      </c>
      <c r="AD171">
        <v>130</v>
      </c>
      <c r="AE171">
        <v>7</v>
      </c>
      <c r="AF171">
        <v>1</v>
      </c>
      <c r="AG171">
        <v>2</v>
      </c>
      <c r="AH171">
        <v>0</v>
      </c>
      <c r="AI171">
        <v>0</v>
      </c>
      <c r="AJ171">
        <v>4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7</v>
      </c>
      <c r="AQ171">
        <v>2</v>
      </c>
      <c r="AR171">
        <v>2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2</v>
      </c>
      <c r="BC171">
        <v>16</v>
      </c>
      <c r="BD171">
        <v>2</v>
      </c>
      <c r="BE171">
        <v>0</v>
      </c>
      <c r="BF171">
        <v>2</v>
      </c>
      <c r="BG171">
        <v>0</v>
      </c>
      <c r="BH171">
        <v>8</v>
      </c>
      <c r="BI171">
        <v>1</v>
      </c>
      <c r="BJ171">
        <v>0</v>
      </c>
      <c r="BK171">
        <v>1</v>
      </c>
      <c r="BL171">
        <v>0</v>
      </c>
      <c r="BM171">
        <v>2</v>
      </c>
      <c r="BN171">
        <v>16</v>
      </c>
      <c r="BO171">
        <v>46</v>
      </c>
      <c r="BP171">
        <v>18</v>
      </c>
      <c r="BQ171">
        <v>9</v>
      </c>
      <c r="BR171">
        <v>10</v>
      </c>
      <c r="BS171">
        <v>4</v>
      </c>
      <c r="BT171">
        <v>0</v>
      </c>
      <c r="BU171">
        <v>0</v>
      </c>
      <c r="BV171">
        <v>0</v>
      </c>
      <c r="BW171">
        <v>3</v>
      </c>
      <c r="BX171">
        <v>0</v>
      </c>
      <c r="BY171">
        <v>2</v>
      </c>
      <c r="BZ171">
        <v>46</v>
      </c>
      <c r="CA171">
        <v>10</v>
      </c>
      <c r="CB171">
        <v>2</v>
      </c>
      <c r="CC171">
        <v>1</v>
      </c>
      <c r="CD171">
        <v>2</v>
      </c>
      <c r="CE171">
        <v>0</v>
      </c>
      <c r="CF171">
        <v>2</v>
      </c>
      <c r="CG171">
        <v>0</v>
      </c>
      <c r="CH171">
        <v>0</v>
      </c>
      <c r="CI171">
        <v>3</v>
      </c>
      <c r="CJ171">
        <v>0</v>
      </c>
      <c r="CK171">
        <v>0</v>
      </c>
      <c r="CL171">
        <v>10</v>
      </c>
      <c r="CM171">
        <v>1</v>
      </c>
      <c r="CN171">
        <v>1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1</v>
      </c>
      <c r="CY171">
        <v>9</v>
      </c>
      <c r="CZ171">
        <v>1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8</v>
      </c>
      <c r="DJ171">
        <v>9</v>
      </c>
      <c r="DK171">
        <v>7</v>
      </c>
      <c r="DL171">
        <v>2</v>
      </c>
      <c r="DM171">
        <v>0</v>
      </c>
      <c r="DN171">
        <v>0</v>
      </c>
      <c r="DO171">
        <v>0</v>
      </c>
      <c r="DP171">
        <v>5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7</v>
      </c>
      <c r="DW171">
        <v>31</v>
      </c>
      <c r="DX171">
        <v>15</v>
      </c>
      <c r="DY171">
        <v>8</v>
      </c>
      <c r="DZ171">
        <v>1</v>
      </c>
      <c r="EA171">
        <v>6</v>
      </c>
      <c r="EB171">
        <v>0</v>
      </c>
      <c r="EC171">
        <v>0</v>
      </c>
      <c r="ED171">
        <v>0</v>
      </c>
      <c r="EE171">
        <v>0</v>
      </c>
      <c r="EF171">
        <v>1</v>
      </c>
      <c r="EG171">
        <v>0</v>
      </c>
      <c r="EH171">
        <v>31</v>
      </c>
      <c r="EI171">
        <v>1</v>
      </c>
      <c r="EJ171">
        <v>0</v>
      </c>
      <c r="EK171">
        <v>0</v>
      </c>
      <c r="EL171">
        <v>0</v>
      </c>
      <c r="EM171">
        <v>1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0</v>
      </c>
      <c r="ET171">
        <v>1</v>
      </c>
    </row>
    <row r="172" spans="1:150" ht="12.75">
      <c r="A172">
        <v>167</v>
      </c>
      <c r="B172" t="str">
        <f>"060609"</f>
        <v>060609</v>
      </c>
      <c r="C172" t="str">
        <f>"Rudnik"</f>
        <v>Rudnik</v>
      </c>
      <c r="D172" t="str">
        <f t="shared" si="32"/>
        <v>krasnostawski</v>
      </c>
      <c r="E172" t="str">
        <f t="shared" si="27"/>
        <v>lubelskie</v>
      </c>
      <c r="F172">
        <v>3</v>
      </c>
      <c r="G172" t="str">
        <f>"Budynek Szkoły w Wierzbicy, Wierzbica 24, 22-330 Rudnik"</f>
        <v>Budynek Szkoły w Wierzbicy, Wierzbica 24, 22-330 Rudnik</v>
      </c>
      <c r="H172">
        <v>625</v>
      </c>
      <c r="I172">
        <v>625</v>
      </c>
      <c r="J172">
        <v>0</v>
      </c>
      <c r="K172">
        <v>440</v>
      </c>
      <c r="L172">
        <v>377</v>
      </c>
      <c r="M172">
        <v>63</v>
      </c>
      <c r="N172">
        <v>63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63</v>
      </c>
      <c r="Z172">
        <v>0</v>
      </c>
      <c r="AA172">
        <v>0</v>
      </c>
      <c r="AB172">
        <v>63</v>
      </c>
      <c r="AC172">
        <v>2</v>
      </c>
      <c r="AD172">
        <v>61</v>
      </c>
      <c r="AE172">
        <v>4</v>
      </c>
      <c r="AF172">
        <v>2</v>
      </c>
      <c r="AG172">
        <v>0</v>
      </c>
      <c r="AH172">
        <v>2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4</v>
      </c>
      <c r="AQ172">
        <v>11</v>
      </c>
      <c r="AR172">
        <v>11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11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23</v>
      </c>
      <c r="BP172">
        <v>5</v>
      </c>
      <c r="BQ172">
        <v>5</v>
      </c>
      <c r="BR172">
        <v>8</v>
      </c>
      <c r="BS172">
        <v>1</v>
      </c>
      <c r="BT172">
        <v>0</v>
      </c>
      <c r="BU172">
        <v>0</v>
      </c>
      <c r="BV172">
        <v>0</v>
      </c>
      <c r="BW172">
        <v>4</v>
      </c>
      <c r="BX172">
        <v>0</v>
      </c>
      <c r="BY172">
        <v>0</v>
      </c>
      <c r="BZ172">
        <v>23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3</v>
      </c>
      <c r="CN172">
        <v>1</v>
      </c>
      <c r="CO172">
        <v>1</v>
      </c>
      <c r="CP172">
        <v>0</v>
      </c>
      <c r="CQ172">
        <v>0</v>
      </c>
      <c r="CR172">
        <v>0</v>
      </c>
      <c r="CS172">
        <v>0</v>
      </c>
      <c r="CT172">
        <v>1</v>
      </c>
      <c r="CU172">
        <v>0</v>
      </c>
      <c r="CV172">
        <v>0</v>
      </c>
      <c r="CW172">
        <v>0</v>
      </c>
      <c r="CX172">
        <v>3</v>
      </c>
      <c r="CY172">
        <v>6</v>
      </c>
      <c r="CZ172">
        <v>1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5</v>
      </c>
      <c r="DJ172">
        <v>6</v>
      </c>
      <c r="DK172">
        <v>4</v>
      </c>
      <c r="DL172">
        <v>1</v>
      </c>
      <c r="DM172">
        <v>3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4</v>
      </c>
      <c r="DW172">
        <v>9</v>
      </c>
      <c r="DX172">
        <v>5</v>
      </c>
      <c r="DY172">
        <v>1</v>
      </c>
      <c r="DZ172">
        <v>1</v>
      </c>
      <c r="EA172">
        <v>2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9</v>
      </c>
      <c r="EI172">
        <v>1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0</v>
      </c>
      <c r="ES172">
        <v>1</v>
      </c>
      <c r="ET172">
        <v>1</v>
      </c>
    </row>
    <row r="173" spans="1:150" ht="12.75">
      <c r="A173">
        <v>168</v>
      </c>
      <c r="B173" t="str">
        <f>"060609"</f>
        <v>060609</v>
      </c>
      <c r="C173" t="str">
        <f>"Rudnik"</f>
        <v>Rudnik</v>
      </c>
      <c r="D173" t="str">
        <f t="shared" si="32"/>
        <v>krasnostawski</v>
      </c>
      <c r="E173" t="str">
        <f t="shared" si="27"/>
        <v>lubelskie</v>
      </c>
      <c r="F173">
        <v>4</v>
      </c>
      <c r="G173" t="str">
        <f>"Szkoła Podstawowa w Płonce, Płonka 70, 22-330 Rudnik"</f>
        <v>Szkoła Podstawowa w Płonce, Płonka 70, 22-330 Rudnik</v>
      </c>
      <c r="H173">
        <v>467</v>
      </c>
      <c r="I173">
        <v>467</v>
      </c>
      <c r="J173">
        <v>0</v>
      </c>
      <c r="K173">
        <v>330</v>
      </c>
      <c r="L173">
        <v>255</v>
      </c>
      <c r="M173">
        <v>75</v>
      </c>
      <c r="N173">
        <v>75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75</v>
      </c>
      <c r="Z173">
        <v>0</v>
      </c>
      <c r="AA173">
        <v>0</v>
      </c>
      <c r="AB173">
        <v>75</v>
      </c>
      <c r="AC173">
        <v>3</v>
      </c>
      <c r="AD173">
        <v>72</v>
      </c>
      <c r="AE173">
        <v>3</v>
      </c>
      <c r="AF173">
        <v>2</v>
      </c>
      <c r="AG173">
        <v>0</v>
      </c>
      <c r="AH173">
        <v>1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3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14</v>
      </c>
      <c r="BD173">
        <v>0</v>
      </c>
      <c r="BE173">
        <v>0</v>
      </c>
      <c r="BF173">
        <v>0</v>
      </c>
      <c r="BG173">
        <v>0</v>
      </c>
      <c r="BH173">
        <v>14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14</v>
      </c>
      <c r="BO173">
        <v>37</v>
      </c>
      <c r="BP173">
        <v>15</v>
      </c>
      <c r="BQ173">
        <v>4</v>
      </c>
      <c r="BR173">
        <v>10</v>
      </c>
      <c r="BS173">
        <v>0</v>
      </c>
      <c r="BT173">
        <v>0</v>
      </c>
      <c r="BU173">
        <v>0</v>
      </c>
      <c r="BV173">
        <v>0</v>
      </c>
      <c r="BW173">
        <v>8</v>
      </c>
      <c r="BX173">
        <v>0</v>
      </c>
      <c r="BY173">
        <v>0</v>
      </c>
      <c r="BZ173">
        <v>37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2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1</v>
      </c>
      <c r="DG173">
        <v>0</v>
      </c>
      <c r="DH173">
        <v>0</v>
      </c>
      <c r="DI173">
        <v>1</v>
      </c>
      <c r="DJ173">
        <v>2</v>
      </c>
      <c r="DK173">
        <v>7</v>
      </c>
      <c r="DL173">
        <v>0</v>
      </c>
      <c r="DM173">
        <v>2</v>
      </c>
      <c r="DN173">
        <v>0</v>
      </c>
      <c r="DO173">
        <v>0</v>
      </c>
      <c r="DP173">
        <v>1</v>
      </c>
      <c r="DQ173">
        <v>3</v>
      </c>
      <c r="DR173">
        <v>0</v>
      </c>
      <c r="DS173">
        <v>0</v>
      </c>
      <c r="DT173">
        <v>1</v>
      </c>
      <c r="DU173">
        <v>0</v>
      </c>
      <c r="DV173">
        <v>7</v>
      </c>
      <c r="DW173">
        <v>9</v>
      </c>
      <c r="DX173">
        <v>4</v>
      </c>
      <c r="DY173">
        <v>3</v>
      </c>
      <c r="DZ173">
        <v>2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9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0</v>
      </c>
      <c r="ES173">
        <v>0</v>
      </c>
      <c r="ET173">
        <v>0</v>
      </c>
    </row>
    <row r="174" spans="1:150" ht="12.75">
      <c r="A174">
        <v>169</v>
      </c>
      <c r="B174" t="str">
        <f>"060609"</f>
        <v>060609</v>
      </c>
      <c r="C174" t="str">
        <f>"Rudnik"</f>
        <v>Rudnik</v>
      </c>
      <c r="D174" t="str">
        <f t="shared" si="32"/>
        <v>krasnostawski</v>
      </c>
      <c r="E174" t="str">
        <f t="shared" si="27"/>
        <v>lubelskie</v>
      </c>
      <c r="F174">
        <v>5</v>
      </c>
      <c r="G174" t="str">
        <f>"Dom Pomocy Społecznej, Bzowiec 134, 22-335 Żółkiewka"</f>
        <v>Dom Pomocy Społecznej, Bzowiec 134, 22-335 Żółkiewka</v>
      </c>
      <c r="H174">
        <v>370</v>
      </c>
      <c r="I174">
        <v>370</v>
      </c>
      <c r="J174">
        <v>0</v>
      </c>
      <c r="K174">
        <v>250</v>
      </c>
      <c r="L174">
        <v>116</v>
      </c>
      <c r="M174">
        <v>134</v>
      </c>
      <c r="N174">
        <v>134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133</v>
      </c>
      <c r="Z174">
        <v>0</v>
      </c>
      <c r="AA174">
        <v>0</v>
      </c>
      <c r="AB174">
        <v>133</v>
      </c>
      <c r="AC174">
        <v>5</v>
      </c>
      <c r="AD174">
        <v>128</v>
      </c>
      <c r="AE174">
        <v>3</v>
      </c>
      <c r="AF174">
        <v>1</v>
      </c>
      <c r="AG174">
        <v>1</v>
      </c>
      <c r="AH174">
        <v>0</v>
      </c>
      <c r="AI174">
        <v>0</v>
      </c>
      <c r="AJ174">
        <v>0</v>
      </c>
      <c r="AK174">
        <v>1</v>
      </c>
      <c r="AL174">
        <v>0</v>
      </c>
      <c r="AM174">
        <v>0</v>
      </c>
      <c r="AN174">
        <v>0</v>
      </c>
      <c r="AO174">
        <v>0</v>
      </c>
      <c r="AP174">
        <v>3</v>
      </c>
      <c r="AQ174">
        <v>1</v>
      </c>
      <c r="AR174">
        <v>0</v>
      </c>
      <c r="AS174">
        <v>0</v>
      </c>
      <c r="AT174">
        <v>1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1</v>
      </c>
      <c r="BC174">
        <v>75</v>
      </c>
      <c r="BD174">
        <v>0</v>
      </c>
      <c r="BE174">
        <v>0</v>
      </c>
      <c r="BF174">
        <v>0</v>
      </c>
      <c r="BG174">
        <v>0</v>
      </c>
      <c r="BH174">
        <v>74</v>
      </c>
      <c r="BI174">
        <v>0</v>
      </c>
      <c r="BJ174">
        <v>0</v>
      </c>
      <c r="BK174">
        <v>0</v>
      </c>
      <c r="BL174">
        <v>1</v>
      </c>
      <c r="BM174">
        <v>0</v>
      </c>
      <c r="BN174">
        <v>75</v>
      </c>
      <c r="BO174">
        <v>5</v>
      </c>
      <c r="BP174">
        <v>0</v>
      </c>
      <c r="BQ174">
        <v>3</v>
      </c>
      <c r="BR174">
        <v>1</v>
      </c>
      <c r="BS174">
        <v>0</v>
      </c>
      <c r="BT174">
        <v>0</v>
      </c>
      <c r="BU174">
        <v>1</v>
      </c>
      <c r="BV174">
        <v>0</v>
      </c>
      <c r="BW174">
        <v>0</v>
      </c>
      <c r="BX174">
        <v>0</v>
      </c>
      <c r="BY174">
        <v>0</v>
      </c>
      <c r="BZ174">
        <v>5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3</v>
      </c>
      <c r="CZ174">
        <v>0</v>
      </c>
      <c r="DA174">
        <v>0</v>
      </c>
      <c r="DB174">
        <v>0</v>
      </c>
      <c r="DC174">
        <v>0</v>
      </c>
      <c r="DD174">
        <v>1</v>
      </c>
      <c r="DE174">
        <v>0</v>
      </c>
      <c r="DF174">
        <v>0</v>
      </c>
      <c r="DG174">
        <v>0</v>
      </c>
      <c r="DH174">
        <v>0</v>
      </c>
      <c r="DI174">
        <v>2</v>
      </c>
      <c r="DJ174">
        <v>3</v>
      </c>
      <c r="DK174">
        <v>4</v>
      </c>
      <c r="DL174">
        <v>1</v>
      </c>
      <c r="DM174">
        <v>1</v>
      </c>
      <c r="DN174">
        <v>0</v>
      </c>
      <c r="DO174">
        <v>0</v>
      </c>
      <c r="DP174">
        <v>2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4</v>
      </c>
      <c r="DW174">
        <v>37</v>
      </c>
      <c r="DX174">
        <v>0</v>
      </c>
      <c r="DY174">
        <v>37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37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0</v>
      </c>
      <c r="ET174">
        <v>0</v>
      </c>
    </row>
    <row r="175" spans="1:150" ht="12.75">
      <c r="A175">
        <v>170</v>
      </c>
      <c r="B175" t="str">
        <f>"060610"</f>
        <v>060610</v>
      </c>
      <c r="C175" t="str">
        <f>"Siennica Różana"</f>
        <v>Siennica Różana</v>
      </c>
      <c r="D175" t="str">
        <f t="shared" si="32"/>
        <v>krasnostawski</v>
      </c>
      <c r="E175" t="str">
        <f t="shared" si="27"/>
        <v>lubelskie</v>
      </c>
      <c r="F175">
        <v>1</v>
      </c>
      <c r="G175" t="str">
        <f>"Remiza OSP, Siennica Królewska Duża 97, 22-304 Siennica Różana"</f>
        <v>Remiza OSP, Siennica Królewska Duża 97, 22-304 Siennica Różana</v>
      </c>
      <c r="H175">
        <v>594</v>
      </c>
      <c r="I175">
        <v>594</v>
      </c>
      <c r="J175">
        <v>0</v>
      </c>
      <c r="K175">
        <v>420</v>
      </c>
      <c r="L175">
        <v>306</v>
      </c>
      <c r="M175">
        <v>114</v>
      </c>
      <c r="N175">
        <v>114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114</v>
      </c>
      <c r="Z175">
        <v>0</v>
      </c>
      <c r="AA175">
        <v>0</v>
      </c>
      <c r="AB175">
        <v>114</v>
      </c>
      <c r="AC175">
        <v>1</v>
      </c>
      <c r="AD175">
        <v>113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3</v>
      </c>
      <c r="AR175">
        <v>0</v>
      </c>
      <c r="AS175">
        <v>1</v>
      </c>
      <c r="AT175">
        <v>0</v>
      </c>
      <c r="AU175">
        <v>0</v>
      </c>
      <c r="AV175">
        <v>1</v>
      </c>
      <c r="AW175">
        <v>0</v>
      </c>
      <c r="AX175">
        <v>0</v>
      </c>
      <c r="AY175">
        <v>0</v>
      </c>
      <c r="AZ175">
        <v>0</v>
      </c>
      <c r="BA175">
        <v>1</v>
      </c>
      <c r="BB175">
        <v>3</v>
      </c>
      <c r="BC175">
        <v>3</v>
      </c>
      <c r="BD175">
        <v>0</v>
      </c>
      <c r="BE175">
        <v>0</v>
      </c>
      <c r="BF175">
        <v>0</v>
      </c>
      <c r="BG175">
        <v>0</v>
      </c>
      <c r="BH175">
        <v>3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3</v>
      </c>
      <c r="BO175">
        <v>34</v>
      </c>
      <c r="BP175">
        <v>14</v>
      </c>
      <c r="BQ175">
        <v>17</v>
      </c>
      <c r="BR175">
        <v>0</v>
      </c>
      <c r="BS175">
        <v>1</v>
      </c>
      <c r="BT175">
        <v>1</v>
      </c>
      <c r="BU175">
        <v>0</v>
      </c>
      <c r="BV175">
        <v>0</v>
      </c>
      <c r="BW175">
        <v>1</v>
      </c>
      <c r="BX175">
        <v>0</v>
      </c>
      <c r="BY175">
        <v>0</v>
      </c>
      <c r="BZ175">
        <v>34</v>
      </c>
      <c r="CA175">
        <v>2</v>
      </c>
      <c r="CB175">
        <v>2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2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3</v>
      </c>
      <c r="CZ175">
        <v>2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1</v>
      </c>
      <c r="DJ175">
        <v>3</v>
      </c>
      <c r="DK175">
        <v>16</v>
      </c>
      <c r="DL175">
        <v>2</v>
      </c>
      <c r="DM175">
        <v>0</v>
      </c>
      <c r="DN175">
        <v>0</v>
      </c>
      <c r="DO175">
        <v>0</v>
      </c>
      <c r="DP175">
        <v>14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16</v>
      </c>
      <c r="DW175">
        <v>52</v>
      </c>
      <c r="DX175">
        <v>6</v>
      </c>
      <c r="DY175">
        <v>12</v>
      </c>
      <c r="DZ175">
        <v>0</v>
      </c>
      <c r="EA175">
        <v>34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52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</row>
    <row r="176" spans="1:150" ht="12.75">
      <c r="A176">
        <v>171</v>
      </c>
      <c r="B176" t="str">
        <f>"060610"</f>
        <v>060610</v>
      </c>
      <c r="C176" t="str">
        <f>"Siennica Różana"</f>
        <v>Siennica Różana</v>
      </c>
      <c r="D176" t="str">
        <f t="shared" si="32"/>
        <v>krasnostawski</v>
      </c>
      <c r="E176" t="str">
        <f t="shared" si="27"/>
        <v>lubelskie</v>
      </c>
      <c r="F176">
        <v>2</v>
      </c>
      <c r="G176" t="str">
        <f>"Sala Gimnastyczna przy Zespole Szkół, Siennica Różana 257, 22-304 Siennica Różana"</f>
        <v>Sala Gimnastyczna przy Zespole Szkół, Siennica Różana 257, 22-304 Siennica Różana</v>
      </c>
      <c r="H176">
        <v>1223</v>
      </c>
      <c r="I176">
        <v>1223</v>
      </c>
      <c r="J176">
        <v>0</v>
      </c>
      <c r="K176">
        <v>860</v>
      </c>
      <c r="L176">
        <v>604</v>
      </c>
      <c r="M176">
        <v>256</v>
      </c>
      <c r="N176">
        <v>256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256</v>
      </c>
      <c r="Z176">
        <v>0</v>
      </c>
      <c r="AA176">
        <v>0</v>
      </c>
      <c r="AB176">
        <v>256</v>
      </c>
      <c r="AC176">
        <v>9</v>
      </c>
      <c r="AD176">
        <v>247</v>
      </c>
      <c r="AE176">
        <v>6</v>
      </c>
      <c r="AF176">
        <v>2</v>
      </c>
      <c r="AG176">
        <v>0</v>
      </c>
      <c r="AH176">
        <v>0</v>
      </c>
      <c r="AI176">
        <v>1</v>
      </c>
      <c r="AJ176">
        <v>3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6</v>
      </c>
      <c r="AQ176">
        <v>6</v>
      </c>
      <c r="AR176">
        <v>4</v>
      </c>
      <c r="AS176">
        <v>0</v>
      </c>
      <c r="AT176">
        <v>0</v>
      </c>
      <c r="AU176">
        <v>0</v>
      </c>
      <c r="AV176">
        <v>2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6</v>
      </c>
      <c r="BC176">
        <v>9</v>
      </c>
      <c r="BD176">
        <v>1</v>
      </c>
      <c r="BE176">
        <v>0</v>
      </c>
      <c r="BF176">
        <v>0</v>
      </c>
      <c r="BG176">
        <v>1</v>
      </c>
      <c r="BH176">
        <v>5</v>
      </c>
      <c r="BI176">
        <v>1</v>
      </c>
      <c r="BJ176">
        <v>0</v>
      </c>
      <c r="BK176">
        <v>1</v>
      </c>
      <c r="BL176">
        <v>0</v>
      </c>
      <c r="BM176">
        <v>0</v>
      </c>
      <c r="BN176">
        <v>9</v>
      </c>
      <c r="BO176">
        <v>51</v>
      </c>
      <c r="BP176">
        <v>17</v>
      </c>
      <c r="BQ176">
        <v>21</v>
      </c>
      <c r="BR176">
        <v>4</v>
      </c>
      <c r="BS176">
        <v>5</v>
      </c>
      <c r="BT176">
        <v>0</v>
      </c>
      <c r="BU176">
        <v>0</v>
      </c>
      <c r="BV176">
        <v>0</v>
      </c>
      <c r="BW176">
        <v>4</v>
      </c>
      <c r="BX176">
        <v>0</v>
      </c>
      <c r="BY176">
        <v>0</v>
      </c>
      <c r="BZ176">
        <v>51</v>
      </c>
      <c r="CA176">
        <v>4</v>
      </c>
      <c r="CB176">
        <v>4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4</v>
      </c>
      <c r="CM176">
        <v>4</v>
      </c>
      <c r="CN176">
        <v>4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4</v>
      </c>
      <c r="CY176">
        <v>14</v>
      </c>
      <c r="CZ176">
        <v>5</v>
      </c>
      <c r="DA176">
        <v>1</v>
      </c>
      <c r="DB176">
        <v>1</v>
      </c>
      <c r="DC176">
        <v>1</v>
      </c>
      <c r="DD176">
        <v>0</v>
      </c>
      <c r="DE176">
        <v>1</v>
      </c>
      <c r="DF176">
        <v>0</v>
      </c>
      <c r="DG176">
        <v>0</v>
      </c>
      <c r="DH176">
        <v>0</v>
      </c>
      <c r="DI176">
        <v>5</v>
      </c>
      <c r="DJ176">
        <v>14</v>
      </c>
      <c r="DK176">
        <v>29</v>
      </c>
      <c r="DL176">
        <v>8</v>
      </c>
      <c r="DM176">
        <v>0</v>
      </c>
      <c r="DN176">
        <v>0</v>
      </c>
      <c r="DO176">
        <v>0</v>
      </c>
      <c r="DP176">
        <v>21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29</v>
      </c>
      <c r="DW176">
        <v>123</v>
      </c>
      <c r="DX176">
        <v>8</v>
      </c>
      <c r="DY176">
        <v>23</v>
      </c>
      <c r="DZ176">
        <v>0</v>
      </c>
      <c r="EA176">
        <v>90</v>
      </c>
      <c r="EB176">
        <v>0</v>
      </c>
      <c r="EC176">
        <v>0</v>
      </c>
      <c r="ED176">
        <v>0</v>
      </c>
      <c r="EE176">
        <v>0</v>
      </c>
      <c r="EF176">
        <v>2</v>
      </c>
      <c r="EG176">
        <v>0</v>
      </c>
      <c r="EH176">
        <v>123</v>
      </c>
      <c r="EI176">
        <v>1</v>
      </c>
      <c r="EJ176">
        <v>0</v>
      </c>
      <c r="EK176">
        <v>0</v>
      </c>
      <c r="EL176">
        <v>0</v>
      </c>
      <c r="EM176">
        <v>1</v>
      </c>
      <c r="EN176">
        <v>0</v>
      </c>
      <c r="EO176">
        <v>0</v>
      </c>
      <c r="EP176">
        <v>0</v>
      </c>
      <c r="EQ176">
        <v>0</v>
      </c>
      <c r="ER176">
        <v>0</v>
      </c>
      <c r="ES176">
        <v>0</v>
      </c>
      <c r="ET176">
        <v>1</v>
      </c>
    </row>
    <row r="177" spans="1:150" ht="12.75">
      <c r="A177">
        <v>172</v>
      </c>
      <c r="B177" t="str">
        <f>"060610"</f>
        <v>060610</v>
      </c>
      <c r="C177" t="str">
        <f>"Siennica Różana"</f>
        <v>Siennica Różana</v>
      </c>
      <c r="D177" t="str">
        <f t="shared" si="32"/>
        <v>krasnostawski</v>
      </c>
      <c r="E177" t="str">
        <f t="shared" si="27"/>
        <v>lubelskie</v>
      </c>
      <c r="F177">
        <v>3</v>
      </c>
      <c r="G177" t="str">
        <f>"Remiza OSP, Wola Siennicka 75, 22-304 Siennica Różana"</f>
        <v>Remiza OSP, Wola Siennicka 75, 22-304 Siennica Różana</v>
      </c>
      <c r="H177">
        <v>658</v>
      </c>
      <c r="I177">
        <v>658</v>
      </c>
      <c r="J177">
        <v>0</v>
      </c>
      <c r="K177">
        <v>460</v>
      </c>
      <c r="L177">
        <v>328</v>
      </c>
      <c r="M177">
        <v>132</v>
      </c>
      <c r="N177">
        <v>132</v>
      </c>
      <c r="O177">
        <v>0</v>
      </c>
      <c r="P177">
        <v>0</v>
      </c>
      <c r="Q177">
        <v>2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132</v>
      </c>
      <c r="Z177">
        <v>0</v>
      </c>
      <c r="AA177">
        <v>0</v>
      </c>
      <c r="AB177">
        <v>132</v>
      </c>
      <c r="AC177">
        <v>8</v>
      </c>
      <c r="AD177">
        <v>124</v>
      </c>
      <c r="AE177">
        <v>3</v>
      </c>
      <c r="AF177">
        <v>0</v>
      </c>
      <c r="AG177">
        <v>0</v>
      </c>
      <c r="AH177">
        <v>0</v>
      </c>
      <c r="AI177">
        <v>1</v>
      </c>
      <c r="AJ177">
        <v>2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3</v>
      </c>
      <c r="AQ177">
        <v>3</v>
      </c>
      <c r="AR177">
        <v>3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3</v>
      </c>
      <c r="BC177">
        <v>5</v>
      </c>
      <c r="BD177">
        <v>3</v>
      </c>
      <c r="BE177">
        <v>0</v>
      </c>
      <c r="BF177">
        <v>1</v>
      </c>
      <c r="BG177">
        <v>0</v>
      </c>
      <c r="BH177">
        <v>1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5</v>
      </c>
      <c r="BO177">
        <v>28</v>
      </c>
      <c r="BP177">
        <v>10</v>
      </c>
      <c r="BQ177">
        <v>10</v>
      </c>
      <c r="BR177">
        <v>0</v>
      </c>
      <c r="BS177">
        <v>8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28</v>
      </c>
      <c r="CA177">
        <v>1</v>
      </c>
      <c r="CB177">
        <v>0</v>
      </c>
      <c r="CC177">
        <v>0</v>
      </c>
      <c r="CD177">
        <v>0</v>
      </c>
      <c r="CE177">
        <v>1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1</v>
      </c>
      <c r="CM177">
        <v>4</v>
      </c>
      <c r="CN177">
        <v>0</v>
      </c>
      <c r="CO177">
        <v>1</v>
      </c>
      <c r="CP177">
        <v>0</v>
      </c>
      <c r="CQ177">
        <v>2</v>
      </c>
      <c r="CR177">
        <v>0</v>
      </c>
      <c r="CS177">
        <v>1</v>
      </c>
      <c r="CT177">
        <v>0</v>
      </c>
      <c r="CU177">
        <v>0</v>
      </c>
      <c r="CV177">
        <v>0</v>
      </c>
      <c r="CW177">
        <v>0</v>
      </c>
      <c r="CX177">
        <v>4</v>
      </c>
      <c r="CY177">
        <v>7</v>
      </c>
      <c r="CZ177">
        <v>2</v>
      </c>
      <c r="DA177">
        <v>0</v>
      </c>
      <c r="DB177">
        <v>0</v>
      </c>
      <c r="DC177">
        <v>1</v>
      </c>
      <c r="DD177">
        <v>0</v>
      </c>
      <c r="DE177">
        <v>0</v>
      </c>
      <c r="DF177">
        <v>1</v>
      </c>
      <c r="DG177">
        <v>0</v>
      </c>
      <c r="DH177">
        <v>0</v>
      </c>
      <c r="DI177">
        <v>3</v>
      </c>
      <c r="DJ177">
        <v>7</v>
      </c>
      <c r="DK177">
        <v>4</v>
      </c>
      <c r="DL177">
        <v>0</v>
      </c>
      <c r="DM177">
        <v>3</v>
      </c>
      <c r="DN177">
        <v>0</v>
      </c>
      <c r="DO177">
        <v>0</v>
      </c>
      <c r="DP177">
        <v>1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4</v>
      </c>
      <c r="DW177">
        <v>67</v>
      </c>
      <c r="DX177">
        <v>5</v>
      </c>
      <c r="DY177">
        <v>10</v>
      </c>
      <c r="DZ177">
        <v>1</v>
      </c>
      <c r="EA177">
        <v>50</v>
      </c>
      <c r="EB177">
        <v>0</v>
      </c>
      <c r="EC177">
        <v>0</v>
      </c>
      <c r="ED177">
        <v>1</v>
      </c>
      <c r="EE177">
        <v>0</v>
      </c>
      <c r="EF177">
        <v>0</v>
      </c>
      <c r="EG177">
        <v>0</v>
      </c>
      <c r="EH177">
        <v>67</v>
      </c>
      <c r="EI177">
        <v>2</v>
      </c>
      <c r="EJ177">
        <v>0</v>
      </c>
      <c r="EK177">
        <v>1</v>
      </c>
      <c r="EL177">
        <v>1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2</v>
      </c>
    </row>
    <row r="178" spans="1:150" ht="12.75">
      <c r="A178">
        <v>173</v>
      </c>
      <c r="B178" t="str">
        <f>"060610"</f>
        <v>060610</v>
      </c>
      <c r="C178" t="str">
        <f>"Siennica Różana"</f>
        <v>Siennica Różana</v>
      </c>
      <c r="D178" t="str">
        <f t="shared" si="32"/>
        <v>krasnostawski</v>
      </c>
      <c r="E178" t="str">
        <f t="shared" si="27"/>
        <v>lubelskie</v>
      </c>
      <c r="F178">
        <v>4</v>
      </c>
      <c r="G178" t="str">
        <f>"Budynek byłej Szkoły Podstawowej, Zagroda 134, 22-304 Siennica Różana"</f>
        <v>Budynek byłej Szkoły Podstawowej, Zagroda 134, 22-304 Siennica Różana</v>
      </c>
      <c r="H178">
        <v>699</v>
      </c>
      <c r="I178">
        <v>699</v>
      </c>
      <c r="J178">
        <v>0</v>
      </c>
      <c r="K178">
        <v>490</v>
      </c>
      <c r="L178">
        <v>353</v>
      </c>
      <c r="M178">
        <v>137</v>
      </c>
      <c r="N178">
        <v>137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137</v>
      </c>
      <c r="Z178">
        <v>0</v>
      </c>
      <c r="AA178">
        <v>0</v>
      </c>
      <c r="AB178">
        <v>137</v>
      </c>
      <c r="AC178">
        <v>5</v>
      </c>
      <c r="AD178">
        <v>132</v>
      </c>
      <c r="AE178">
        <v>3</v>
      </c>
      <c r="AF178">
        <v>1</v>
      </c>
      <c r="AG178">
        <v>0</v>
      </c>
      <c r="AH178">
        <v>1</v>
      </c>
      <c r="AI178">
        <v>0</v>
      </c>
      <c r="AJ178">
        <v>0</v>
      </c>
      <c r="AK178">
        <v>0</v>
      </c>
      <c r="AL178">
        <v>1</v>
      </c>
      <c r="AM178">
        <v>0</v>
      </c>
      <c r="AN178">
        <v>0</v>
      </c>
      <c r="AO178">
        <v>0</v>
      </c>
      <c r="AP178">
        <v>3</v>
      </c>
      <c r="AQ178">
        <v>2</v>
      </c>
      <c r="AR178">
        <v>1</v>
      </c>
      <c r="AS178">
        <v>1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2</v>
      </c>
      <c r="BC178">
        <v>6</v>
      </c>
      <c r="BD178">
        <v>1</v>
      </c>
      <c r="BE178">
        <v>1</v>
      </c>
      <c r="BF178">
        <v>0</v>
      </c>
      <c r="BG178">
        <v>1</v>
      </c>
      <c r="BH178">
        <v>2</v>
      </c>
      <c r="BI178">
        <v>0</v>
      </c>
      <c r="BJ178">
        <v>0</v>
      </c>
      <c r="BK178">
        <v>1</v>
      </c>
      <c r="BL178">
        <v>0</v>
      </c>
      <c r="BM178">
        <v>0</v>
      </c>
      <c r="BN178">
        <v>6</v>
      </c>
      <c r="BO178">
        <v>24</v>
      </c>
      <c r="BP178">
        <v>9</v>
      </c>
      <c r="BQ178">
        <v>8</v>
      </c>
      <c r="BR178">
        <v>1</v>
      </c>
      <c r="BS178">
        <v>4</v>
      </c>
      <c r="BT178">
        <v>0</v>
      </c>
      <c r="BU178">
        <v>0</v>
      </c>
      <c r="BV178">
        <v>0</v>
      </c>
      <c r="BW178">
        <v>2</v>
      </c>
      <c r="BX178">
        <v>0</v>
      </c>
      <c r="BY178">
        <v>0</v>
      </c>
      <c r="BZ178">
        <v>24</v>
      </c>
      <c r="CA178">
        <v>3</v>
      </c>
      <c r="CB178">
        <v>2</v>
      </c>
      <c r="CC178">
        <v>1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3</v>
      </c>
      <c r="CM178">
        <v>1</v>
      </c>
      <c r="CN178">
        <v>0</v>
      </c>
      <c r="CO178">
        <v>0</v>
      </c>
      <c r="CP178">
        <v>0</v>
      </c>
      <c r="CQ178">
        <v>0</v>
      </c>
      <c r="CR178">
        <v>1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1</v>
      </c>
      <c r="CY178">
        <v>2</v>
      </c>
      <c r="CZ178">
        <v>2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2</v>
      </c>
      <c r="DK178">
        <v>11</v>
      </c>
      <c r="DL178">
        <v>6</v>
      </c>
      <c r="DM178">
        <v>1</v>
      </c>
      <c r="DN178">
        <v>0</v>
      </c>
      <c r="DO178">
        <v>0</v>
      </c>
      <c r="DP178">
        <v>4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11</v>
      </c>
      <c r="DW178">
        <v>80</v>
      </c>
      <c r="DX178">
        <v>11</v>
      </c>
      <c r="DY178">
        <v>2</v>
      </c>
      <c r="DZ178">
        <v>0</v>
      </c>
      <c r="EA178">
        <v>65</v>
      </c>
      <c r="EB178">
        <v>1</v>
      </c>
      <c r="EC178">
        <v>0</v>
      </c>
      <c r="ED178">
        <v>0</v>
      </c>
      <c r="EE178">
        <v>0</v>
      </c>
      <c r="EF178">
        <v>0</v>
      </c>
      <c r="EG178">
        <v>1</v>
      </c>
      <c r="EH178">
        <v>80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  <c r="ET178">
        <v>0</v>
      </c>
    </row>
    <row r="179" spans="1:150" ht="12.75">
      <c r="A179">
        <v>174</v>
      </c>
      <c r="B179" t="str">
        <f>"060610"</f>
        <v>060610</v>
      </c>
      <c r="C179" t="str">
        <f>"Siennica Różana"</f>
        <v>Siennica Różana</v>
      </c>
      <c r="D179" t="str">
        <f t="shared" si="32"/>
        <v>krasnostawski</v>
      </c>
      <c r="E179" t="str">
        <f t="shared" si="27"/>
        <v>lubelskie</v>
      </c>
      <c r="F179">
        <v>5</v>
      </c>
      <c r="G179" t="str">
        <f>"Remiza OSP, Wierzchowiny 61a, 22-304 Siennica Różana"</f>
        <v>Remiza OSP, Wierzchowiny 61a, 22-304 Siennica Różana</v>
      </c>
      <c r="H179">
        <v>338</v>
      </c>
      <c r="I179">
        <v>338</v>
      </c>
      <c r="J179">
        <v>0</v>
      </c>
      <c r="K179">
        <v>240</v>
      </c>
      <c r="L179">
        <v>175</v>
      </c>
      <c r="M179">
        <v>65</v>
      </c>
      <c r="N179">
        <v>65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65</v>
      </c>
      <c r="Z179">
        <v>0</v>
      </c>
      <c r="AA179">
        <v>0</v>
      </c>
      <c r="AB179">
        <v>65</v>
      </c>
      <c r="AC179">
        <v>6</v>
      </c>
      <c r="AD179">
        <v>59</v>
      </c>
      <c r="AE179">
        <v>7</v>
      </c>
      <c r="AF179">
        <v>4</v>
      </c>
      <c r="AG179">
        <v>0</v>
      </c>
      <c r="AH179">
        <v>1</v>
      </c>
      <c r="AI179">
        <v>0</v>
      </c>
      <c r="AJ179">
        <v>1</v>
      </c>
      <c r="AK179">
        <v>0</v>
      </c>
      <c r="AL179">
        <v>0</v>
      </c>
      <c r="AM179">
        <v>0</v>
      </c>
      <c r="AN179">
        <v>0</v>
      </c>
      <c r="AO179">
        <v>1</v>
      </c>
      <c r="AP179">
        <v>7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2</v>
      </c>
      <c r="BD179">
        <v>0</v>
      </c>
      <c r="BE179">
        <v>0</v>
      </c>
      <c r="BF179">
        <v>0</v>
      </c>
      <c r="BG179">
        <v>0</v>
      </c>
      <c r="BH179">
        <v>2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2</v>
      </c>
      <c r="BO179">
        <v>10</v>
      </c>
      <c r="BP179">
        <v>3</v>
      </c>
      <c r="BQ179">
        <v>3</v>
      </c>
      <c r="BR179">
        <v>1</v>
      </c>
      <c r="BS179">
        <v>3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10</v>
      </c>
      <c r="CA179">
        <v>2</v>
      </c>
      <c r="CB179">
        <v>0</v>
      </c>
      <c r="CC179">
        <v>1</v>
      </c>
      <c r="CD179">
        <v>0</v>
      </c>
      <c r="CE179">
        <v>0</v>
      </c>
      <c r="CF179">
        <v>1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2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3</v>
      </c>
      <c r="CZ179">
        <v>1</v>
      </c>
      <c r="DA179">
        <v>0</v>
      </c>
      <c r="DB179">
        <v>0</v>
      </c>
      <c r="DC179">
        <v>0</v>
      </c>
      <c r="DD179">
        <v>1</v>
      </c>
      <c r="DE179">
        <v>0</v>
      </c>
      <c r="DF179">
        <v>0</v>
      </c>
      <c r="DG179">
        <v>0</v>
      </c>
      <c r="DH179">
        <v>0</v>
      </c>
      <c r="DI179">
        <v>1</v>
      </c>
      <c r="DJ179">
        <v>3</v>
      </c>
      <c r="DK179">
        <v>4</v>
      </c>
      <c r="DL179">
        <v>2</v>
      </c>
      <c r="DM179">
        <v>0</v>
      </c>
      <c r="DN179">
        <v>0</v>
      </c>
      <c r="DO179">
        <v>0</v>
      </c>
      <c r="DP179">
        <v>2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4</v>
      </c>
      <c r="DW179">
        <v>30</v>
      </c>
      <c r="DX179">
        <v>5</v>
      </c>
      <c r="DY179">
        <v>1</v>
      </c>
      <c r="DZ179">
        <v>0</v>
      </c>
      <c r="EA179">
        <v>24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30</v>
      </c>
      <c r="EI179">
        <v>1</v>
      </c>
      <c r="EJ179">
        <v>0</v>
      </c>
      <c r="EK179">
        <v>1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0</v>
      </c>
      <c r="ES179">
        <v>0</v>
      </c>
      <c r="ET179">
        <v>1</v>
      </c>
    </row>
    <row r="180" spans="1:150" ht="12.75">
      <c r="A180">
        <v>175</v>
      </c>
      <c r="B180" t="str">
        <f aca="true" t="shared" si="33" ref="B180:B187">"060611"</f>
        <v>060611</v>
      </c>
      <c r="C180" t="str">
        <f aca="true" t="shared" si="34" ref="C180:C187">"Żółkiewka"</f>
        <v>Żółkiewka</v>
      </c>
      <c r="D180" t="str">
        <f t="shared" si="32"/>
        <v>krasnostawski</v>
      </c>
      <c r="E180" t="str">
        <f t="shared" si="27"/>
        <v>lubelskie</v>
      </c>
      <c r="F180">
        <v>1</v>
      </c>
      <c r="G180" t="str">
        <f>"Budynek Szkoły, Olchowiec 54, 22-335 Żółkiewka"</f>
        <v>Budynek Szkoły, Olchowiec 54, 22-335 Żółkiewka</v>
      </c>
      <c r="H180">
        <v>686</v>
      </c>
      <c r="I180">
        <v>686</v>
      </c>
      <c r="J180">
        <v>0</v>
      </c>
      <c r="K180">
        <v>480</v>
      </c>
      <c r="L180">
        <v>378</v>
      </c>
      <c r="M180">
        <v>102</v>
      </c>
      <c r="N180">
        <v>102</v>
      </c>
      <c r="O180">
        <v>0</v>
      </c>
      <c r="P180">
        <v>0</v>
      </c>
      <c r="Q180">
        <v>1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102</v>
      </c>
      <c r="Z180">
        <v>0</v>
      </c>
      <c r="AA180">
        <v>0</v>
      </c>
      <c r="AB180">
        <v>102</v>
      </c>
      <c r="AC180">
        <v>5</v>
      </c>
      <c r="AD180">
        <v>97</v>
      </c>
      <c r="AE180">
        <v>2</v>
      </c>
      <c r="AF180">
        <v>0</v>
      </c>
      <c r="AG180">
        <v>1</v>
      </c>
      <c r="AH180">
        <v>0</v>
      </c>
      <c r="AI180">
        <v>0</v>
      </c>
      <c r="AJ180">
        <v>1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2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7</v>
      </c>
      <c r="BD180">
        <v>1</v>
      </c>
      <c r="BE180">
        <v>1</v>
      </c>
      <c r="BF180">
        <v>0</v>
      </c>
      <c r="BG180">
        <v>0</v>
      </c>
      <c r="BH180">
        <v>5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7</v>
      </c>
      <c r="BO180">
        <v>44</v>
      </c>
      <c r="BP180">
        <v>9</v>
      </c>
      <c r="BQ180">
        <v>15</v>
      </c>
      <c r="BR180">
        <v>9</v>
      </c>
      <c r="BS180">
        <v>3</v>
      </c>
      <c r="BT180">
        <v>1</v>
      </c>
      <c r="BU180">
        <v>0</v>
      </c>
      <c r="BV180">
        <v>2</v>
      </c>
      <c r="BW180">
        <v>5</v>
      </c>
      <c r="BX180">
        <v>0</v>
      </c>
      <c r="BY180">
        <v>0</v>
      </c>
      <c r="BZ180">
        <v>44</v>
      </c>
      <c r="CA180">
        <v>6</v>
      </c>
      <c r="CB180">
        <v>2</v>
      </c>
      <c r="CC180">
        <v>3</v>
      </c>
      <c r="CD180">
        <v>0</v>
      </c>
      <c r="CE180">
        <v>0</v>
      </c>
      <c r="CF180">
        <v>0</v>
      </c>
      <c r="CG180">
        <v>1</v>
      </c>
      <c r="CH180">
        <v>0</v>
      </c>
      <c r="CI180">
        <v>0</v>
      </c>
      <c r="CJ180">
        <v>0</v>
      </c>
      <c r="CK180">
        <v>0</v>
      </c>
      <c r="CL180">
        <v>6</v>
      </c>
      <c r="CM180">
        <v>2</v>
      </c>
      <c r="CN180">
        <v>2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2</v>
      </c>
      <c r="CY180">
        <v>7</v>
      </c>
      <c r="CZ180">
        <v>5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2</v>
      </c>
      <c r="DJ180">
        <v>7</v>
      </c>
      <c r="DK180">
        <v>7</v>
      </c>
      <c r="DL180">
        <v>1</v>
      </c>
      <c r="DM180">
        <v>4</v>
      </c>
      <c r="DN180">
        <v>0</v>
      </c>
      <c r="DO180">
        <v>0</v>
      </c>
      <c r="DP180">
        <v>2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7</v>
      </c>
      <c r="DW180">
        <v>21</v>
      </c>
      <c r="DX180">
        <v>6</v>
      </c>
      <c r="DY180">
        <v>10</v>
      </c>
      <c r="DZ180">
        <v>3</v>
      </c>
      <c r="EA180">
        <v>1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1</v>
      </c>
      <c r="EH180">
        <v>21</v>
      </c>
      <c r="EI180">
        <v>1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1</v>
      </c>
      <c r="ET180">
        <v>1</v>
      </c>
    </row>
    <row r="181" spans="1:150" ht="12.75">
      <c r="A181">
        <v>176</v>
      </c>
      <c r="B181" t="str">
        <f t="shared" si="33"/>
        <v>060611</v>
      </c>
      <c r="C181" t="str">
        <f t="shared" si="34"/>
        <v>Żółkiewka</v>
      </c>
      <c r="D181" t="str">
        <f t="shared" si="32"/>
        <v>krasnostawski</v>
      </c>
      <c r="E181" t="str">
        <f t="shared" si="27"/>
        <v>lubelskie</v>
      </c>
      <c r="F181">
        <v>2</v>
      </c>
      <c r="G181" t="str">
        <f>"Urząd Gminy, Hetmana Żółkiewskiego 2, 22-335 Żółkiewka"</f>
        <v>Urząd Gminy, Hetmana Żółkiewskiego 2, 22-335 Żółkiewka</v>
      </c>
      <c r="H181">
        <v>1170</v>
      </c>
      <c r="I181">
        <v>1170</v>
      </c>
      <c r="J181">
        <v>0</v>
      </c>
      <c r="K181">
        <v>820</v>
      </c>
      <c r="L181">
        <v>640</v>
      </c>
      <c r="M181">
        <v>180</v>
      </c>
      <c r="N181">
        <v>180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180</v>
      </c>
      <c r="Z181">
        <v>0</v>
      </c>
      <c r="AA181">
        <v>0</v>
      </c>
      <c r="AB181">
        <v>180</v>
      </c>
      <c r="AC181">
        <v>8</v>
      </c>
      <c r="AD181">
        <v>172</v>
      </c>
      <c r="AE181">
        <v>4</v>
      </c>
      <c r="AF181">
        <v>4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4</v>
      </c>
      <c r="AQ181">
        <v>5</v>
      </c>
      <c r="AR181">
        <v>4</v>
      </c>
      <c r="AS181">
        <v>0</v>
      </c>
      <c r="AT181">
        <v>1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5</v>
      </c>
      <c r="BC181">
        <v>10</v>
      </c>
      <c r="BD181">
        <v>4</v>
      </c>
      <c r="BE181">
        <v>2</v>
      </c>
      <c r="BF181">
        <v>1</v>
      </c>
      <c r="BG181">
        <v>0</v>
      </c>
      <c r="BH181">
        <v>1</v>
      </c>
      <c r="BI181">
        <v>0</v>
      </c>
      <c r="BJ181">
        <v>0</v>
      </c>
      <c r="BK181">
        <v>0</v>
      </c>
      <c r="BL181">
        <v>0</v>
      </c>
      <c r="BM181">
        <v>2</v>
      </c>
      <c r="BN181">
        <v>10</v>
      </c>
      <c r="BO181">
        <v>69</v>
      </c>
      <c r="BP181">
        <v>15</v>
      </c>
      <c r="BQ181">
        <v>34</v>
      </c>
      <c r="BR181">
        <v>15</v>
      </c>
      <c r="BS181">
        <v>0</v>
      </c>
      <c r="BT181">
        <v>0</v>
      </c>
      <c r="BU181">
        <v>0</v>
      </c>
      <c r="BV181">
        <v>0</v>
      </c>
      <c r="BW181">
        <v>4</v>
      </c>
      <c r="BX181">
        <v>0</v>
      </c>
      <c r="BY181">
        <v>1</v>
      </c>
      <c r="BZ181">
        <v>69</v>
      </c>
      <c r="CA181">
        <v>11</v>
      </c>
      <c r="CB181">
        <v>8</v>
      </c>
      <c r="CC181">
        <v>1</v>
      </c>
      <c r="CD181">
        <v>2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11</v>
      </c>
      <c r="CM181">
        <v>9</v>
      </c>
      <c r="CN181">
        <v>7</v>
      </c>
      <c r="CO181">
        <v>0</v>
      </c>
      <c r="CP181">
        <v>2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9</v>
      </c>
      <c r="CY181">
        <v>7</v>
      </c>
      <c r="CZ181">
        <v>5</v>
      </c>
      <c r="DA181">
        <v>0</v>
      </c>
      <c r="DB181">
        <v>0</v>
      </c>
      <c r="DC181">
        <v>0</v>
      </c>
      <c r="DD181">
        <v>1</v>
      </c>
      <c r="DE181">
        <v>0</v>
      </c>
      <c r="DF181">
        <v>0</v>
      </c>
      <c r="DG181">
        <v>0</v>
      </c>
      <c r="DH181">
        <v>0</v>
      </c>
      <c r="DI181">
        <v>1</v>
      </c>
      <c r="DJ181">
        <v>7</v>
      </c>
      <c r="DK181">
        <v>20</v>
      </c>
      <c r="DL181">
        <v>8</v>
      </c>
      <c r="DM181">
        <v>4</v>
      </c>
      <c r="DN181">
        <v>0</v>
      </c>
      <c r="DO181">
        <v>0</v>
      </c>
      <c r="DP181">
        <v>8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20</v>
      </c>
      <c r="DW181">
        <v>37</v>
      </c>
      <c r="DX181">
        <v>10</v>
      </c>
      <c r="DY181">
        <v>10</v>
      </c>
      <c r="DZ181">
        <v>1</v>
      </c>
      <c r="EA181">
        <v>13</v>
      </c>
      <c r="EB181">
        <v>0</v>
      </c>
      <c r="EC181">
        <v>0</v>
      </c>
      <c r="ED181">
        <v>0</v>
      </c>
      <c r="EE181">
        <v>1</v>
      </c>
      <c r="EF181">
        <v>1</v>
      </c>
      <c r="EG181">
        <v>1</v>
      </c>
      <c r="EH181">
        <v>37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</row>
    <row r="182" spans="1:150" ht="12.75">
      <c r="A182">
        <v>177</v>
      </c>
      <c r="B182" t="str">
        <f t="shared" si="33"/>
        <v>060611</v>
      </c>
      <c r="C182" t="str">
        <f t="shared" si="34"/>
        <v>Żółkiewka</v>
      </c>
      <c r="D182" t="str">
        <f t="shared" si="32"/>
        <v>krasnostawski</v>
      </c>
      <c r="E182" t="str">
        <f t="shared" si="27"/>
        <v>lubelskie</v>
      </c>
      <c r="F182">
        <v>3</v>
      </c>
      <c r="G182" t="str">
        <f>"Hala sportowa, Polna 24, 22-335 Żółkiewka"</f>
        <v>Hala sportowa, Polna 24, 22-335 Żółkiewka</v>
      </c>
      <c r="H182">
        <v>726</v>
      </c>
      <c r="I182">
        <v>726</v>
      </c>
      <c r="J182">
        <v>0</v>
      </c>
      <c r="K182">
        <v>510</v>
      </c>
      <c r="L182">
        <v>398</v>
      </c>
      <c r="M182">
        <v>112</v>
      </c>
      <c r="N182">
        <v>112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112</v>
      </c>
      <c r="Z182">
        <v>0</v>
      </c>
      <c r="AA182">
        <v>0</v>
      </c>
      <c r="AB182">
        <v>112</v>
      </c>
      <c r="AC182">
        <v>3</v>
      </c>
      <c r="AD182">
        <v>109</v>
      </c>
      <c r="AE182">
        <v>5</v>
      </c>
      <c r="AF182">
        <v>3</v>
      </c>
      <c r="AG182">
        <v>2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5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6</v>
      </c>
      <c r="BD182">
        <v>2</v>
      </c>
      <c r="BE182">
        <v>0</v>
      </c>
      <c r="BF182">
        <v>1</v>
      </c>
      <c r="BG182">
        <v>0</v>
      </c>
      <c r="BH182">
        <v>3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6</v>
      </c>
      <c r="BO182">
        <v>56</v>
      </c>
      <c r="BP182">
        <v>18</v>
      </c>
      <c r="BQ182">
        <v>23</v>
      </c>
      <c r="BR182">
        <v>6</v>
      </c>
      <c r="BS182">
        <v>2</v>
      </c>
      <c r="BT182">
        <v>1</v>
      </c>
      <c r="BU182">
        <v>2</v>
      </c>
      <c r="BV182">
        <v>0</v>
      </c>
      <c r="BW182">
        <v>4</v>
      </c>
      <c r="BX182">
        <v>0</v>
      </c>
      <c r="BY182">
        <v>0</v>
      </c>
      <c r="BZ182">
        <v>56</v>
      </c>
      <c r="CA182">
        <v>3</v>
      </c>
      <c r="CB182">
        <v>2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1</v>
      </c>
      <c r="CL182">
        <v>3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8</v>
      </c>
      <c r="CZ182">
        <v>5</v>
      </c>
      <c r="DA182">
        <v>3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8</v>
      </c>
      <c r="DK182">
        <v>8</v>
      </c>
      <c r="DL182">
        <v>2</v>
      </c>
      <c r="DM182">
        <v>0</v>
      </c>
      <c r="DN182">
        <v>1</v>
      </c>
      <c r="DO182">
        <v>0</v>
      </c>
      <c r="DP182">
        <v>4</v>
      </c>
      <c r="DQ182">
        <v>1</v>
      </c>
      <c r="DR182">
        <v>0</v>
      </c>
      <c r="DS182">
        <v>0</v>
      </c>
      <c r="DT182">
        <v>0</v>
      </c>
      <c r="DU182">
        <v>0</v>
      </c>
      <c r="DV182">
        <v>8</v>
      </c>
      <c r="DW182">
        <v>23</v>
      </c>
      <c r="DX182">
        <v>10</v>
      </c>
      <c r="DY182">
        <v>8</v>
      </c>
      <c r="DZ182">
        <v>0</v>
      </c>
      <c r="EA182">
        <v>5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23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0</v>
      </c>
      <c r="ET182">
        <v>0</v>
      </c>
    </row>
    <row r="183" spans="1:150" ht="12.75">
      <c r="A183">
        <v>178</v>
      </c>
      <c r="B183" t="str">
        <f t="shared" si="33"/>
        <v>060611</v>
      </c>
      <c r="C183" t="str">
        <f t="shared" si="34"/>
        <v>Żółkiewka</v>
      </c>
      <c r="D183" t="str">
        <f t="shared" si="32"/>
        <v>krasnostawski</v>
      </c>
      <c r="E183" t="str">
        <f t="shared" si="27"/>
        <v>lubelskie</v>
      </c>
      <c r="F183">
        <v>4</v>
      </c>
      <c r="G183" t="str">
        <f>"Remiza OSP, Dąbie 43, 22-335 Żółkiewka"</f>
        <v>Remiza OSP, Dąbie 43, 22-335 Żółkiewka</v>
      </c>
      <c r="H183">
        <v>202</v>
      </c>
      <c r="I183">
        <v>202</v>
      </c>
      <c r="J183">
        <v>0</v>
      </c>
      <c r="K183">
        <v>140</v>
      </c>
      <c r="L183">
        <v>102</v>
      </c>
      <c r="M183">
        <v>38</v>
      </c>
      <c r="N183">
        <v>38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38</v>
      </c>
      <c r="Z183">
        <v>0</v>
      </c>
      <c r="AA183">
        <v>0</v>
      </c>
      <c r="AB183">
        <v>38</v>
      </c>
      <c r="AC183">
        <v>1</v>
      </c>
      <c r="AD183">
        <v>37</v>
      </c>
      <c r="AE183">
        <v>1</v>
      </c>
      <c r="AF183">
        <v>1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1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1</v>
      </c>
      <c r="BD183">
        <v>1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1</v>
      </c>
      <c r="BO183">
        <v>27</v>
      </c>
      <c r="BP183">
        <v>15</v>
      </c>
      <c r="BQ183">
        <v>3</v>
      </c>
      <c r="BR183">
        <v>1</v>
      </c>
      <c r="BS183">
        <v>0</v>
      </c>
      <c r="BT183">
        <v>0</v>
      </c>
      <c r="BU183">
        <v>2</v>
      </c>
      <c r="BV183">
        <v>0</v>
      </c>
      <c r="BW183">
        <v>6</v>
      </c>
      <c r="BX183">
        <v>0</v>
      </c>
      <c r="BY183">
        <v>0</v>
      </c>
      <c r="BZ183">
        <v>27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1</v>
      </c>
      <c r="CN183">
        <v>0</v>
      </c>
      <c r="CO183">
        <v>1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1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7</v>
      </c>
      <c r="DX183">
        <v>1</v>
      </c>
      <c r="DY183">
        <v>5</v>
      </c>
      <c r="DZ183">
        <v>0</v>
      </c>
      <c r="EA183">
        <v>1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7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0</v>
      </c>
      <c r="ET183">
        <v>0</v>
      </c>
    </row>
    <row r="184" spans="1:150" ht="12.75">
      <c r="A184">
        <v>179</v>
      </c>
      <c r="B184" t="str">
        <f t="shared" si="33"/>
        <v>060611</v>
      </c>
      <c r="C184" t="str">
        <f t="shared" si="34"/>
        <v>Żółkiewka</v>
      </c>
      <c r="D184" t="str">
        <f t="shared" si="32"/>
        <v>krasnostawski</v>
      </c>
      <c r="E184" t="str">
        <f t="shared" si="27"/>
        <v>lubelskie</v>
      </c>
      <c r="F184">
        <v>5</v>
      </c>
      <c r="G184" t="str">
        <f>"Remiza OSP, Rożki 39, 22-335 Żółkiewka"</f>
        <v>Remiza OSP, Rożki 39, 22-335 Żółkiewka</v>
      </c>
      <c r="H184">
        <v>618</v>
      </c>
      <c r="I184">
        <v>618</v>
      </c>
      <c r="J184">
        <v>0</v>
      </c>
      <c r="K184">
        <v>430</v>
      </c>
      <c r="L184">
        <v>357</v>
      </c>
      <c r="M184">
        <v>73</v>
      </c>
      <c r="N184">
        <v>73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73</v>
      </c>
      <c r="Z184">
        <v>0</v>
      </c>
      <c r="AA184">
        <v>0</v>
      </c>
      <c r="AB184">
        <v>73</v>
      </c>
      <c r="AC184">
        <v>1</v>
      </c>
      <c r="AD184">
        <v>72</v>
      </c>
      <c r="AE184">
        <v>1</v>
      </c>
      <c r="AF184">
        <v>0</v>
      </c>
      <c r="AG184">
        <v>0</v>
      </c>
      <c r="AH184">
        <v>1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1</v>
      </c>
      <c r="AQ184">
        <v>1</v>
      </c>
      <c r="AR184">
        <v>1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1</v>
      </c>
      <c r="BC184">
        <v>1</v>
      </c>
      <c r="BD184">
        <v>1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1</v>
      </c>
      <c r="BO184">
        <v>29</v>
      </c>
      <c r="BP184">
        <v>12</v>
      </c>
      <c r="BQ184">
        <v>2</v>
      </c>
      <c r="BR184">
        <v>6</v>
      </c>
      <c r="BS184">
        <v>1</v>
      </c>
      <c r="BT184">
        <v>1</v>
      </c>
      <c r="BU184">
        <v>0</v>
      </c>
      <c r="BV184">
        <v>0</v>
      </c>
      <c r="BW184">
        <v>7</v>
      </c>
      <c r="BX184">
        <v>0</v>
      </c>
      <c r="BY184">
        <v>0</v>
      </c>
      <c r="BZ184">
        <v>29</v>
      </c>
      <c r="CA184">
        <v>1</v>
      </c>
      <c r="CB184">
        <v>1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1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7</v>
      </c>
      <c r="CZ184">
        <v>4</v>
      </c>
      <c r="DA184">
        <v>1</v>
      </c>
      <c r="DB184">
        <v>0</v>
      </c>
      <c r="DC184">
        <v>0</v>
      </c>
      <c r="DD184">
        <v>1</v>
      </c>
      <c r="DE184">
        <v>0</v>
      </c>
      <c r="DF184">
        <v>0</v>
      </c>
      <c r="DG184">
        <v>0</v>
      </c>
      <c r="DH184">
        <v>0</v>
      </c>
      <c r="DI184">
        <v>1</v>
      </c>
      <c r="DJ184">
        <v>7</v>
      </c>
      <c r="DK184">
        <v>8</v>
      </c>
      <c r="DL184">
        <v>4</v>
      </c>
      <c r="DM184">
        <v>1</v>
      </c>
      <c r="DN184">
        <v>0</v>
      </c>
      <c r="DO184">
        <v>2</v>
      </c>
      <c r="DP184">
        <v>1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8</v>
      </c>
      <c r="DW184">
        <v>24</v>
      </c>
      <c r="DX184">
        <v>3</v>
      </c>
      <c r="DY184">
        <v>16</v>
      </c>
      <c r="DZ184">
        <v>2</v>
      </c>
      <c r="EA184">
        <v>3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24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0</v>
      </c>
      <c r="ET184">
        <v>0</v>
      </c>
    </row>
    <row r="185" spans="1:150" ht="12.75">
      <c r="A185">
        <v>180</v>
      </c>
      <c r="B185" t="str">
        <f t="shared" si="33"/>
        <v>060611</v>
      </c>
      <c r="C185" t="str">
        <f t="shared" si="34"/>
        <v>Żółkiewka</v>
      </c>
      <c r="D185" t="str">
        <f t="shared" si="32"/>
        <v>krasnostawski</v>
      </c>
      <c r="E185" t="str">
        <f t="shared" si="27"/>
        <v>lubelskie</v>
      </c>
      <c r="F185">
        <v>6</v>
      </c>
      <c r="G185" t="str">
        <f>"Remiza OSP, Koszarsko 31A, 22-335 Żółkiewka"</f>
        <v>Remiza OSP, Koszarsko 31A, 22-335 Żółkiewka</v>
      </c>
      <c r="H185">
        <v>467</v>
      </c>
      <c r="I185">
        <v>467</v>
      </c>
      <c r="J185">
        <v>0</v>
      </c>
      <c r="K185">
        <v>330</v>
      </c>
      <c r="L185">
        <v>256</v>
      </c>
      <c r="M185">
        <v>74</v>
      </c>
      <c r="N185">
        <v>74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74</v>
      </c>
      <c r="Z185">
        <v>0</v>
      </c>
      <c r="AA185">
        <v>0</v>
      </c>
      <c r="AB185">
        <v>74</v>
      </c>
      <c r="AC185">
        <v>5</v>
      </c>
      <c r="AD185">
        <v>69</v>
      </c>
      <c r="AE185">
        <v>2</v>
      </c>
      <c r="AF185">
        <v>0</v>
      </c>
      <c r="AG185">
        <v>1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1</v>
      </c>
      <c r="AN185">
        <v>0</v>
      </c>
      <c r="AO185">
        <v>0</v>
      </c>
      <c r="AP185">
        <v>2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6</v>
      </c>
      <c r="BD185">
        <v>1</v>
      </c>
      <c r="BE185">
        <v>0</v>
      </c>
      <c r="BF185">
        <v>0</v>
      </c>
      <c r="BG185">
        <v>0</v>
      </c>
      <c r="BH185">
        <v>4</v>
      </c>
      <c r="BI185">
        <v>0</v>
      </c>
      <c r="BJ185">
        <v>1</v>
      </c>
      <c r="BK185">
        <v>0</v>
      </c>
      <c r="BL185">
        <v>0</v>
      </c>
      <c r="BM185">
        <v>0</v>
      </c>
      <c r="BN185">
        <v>6</v>
      </c>
      <c r="BO185">
        <v>39</v>
      </c>
      <c r="BP185">
        <v>16</v>
      </c>
      <c r="BQ185">
        <v>4</v>
      </c>
      <c r="BR185">
        <v>4</v>
      </c>
      <c r="BS185">
        <v>0</v>
      </c>
      <c r="BT185">
        <v>0</v>
      </c>
      <c r="BU185">
        <v>1</v>
      </c>
      <c r="BV185">
        <v>6</v>
      </c>
      <c r="BW185">
        <v>7</v>
      </c>
      <c r="BX185">
        <v>0</v>
      </c>
      <c r="BY185">
        <v>1</v>
      </c>
      <c r="BZ185">
        <v>39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3</v>
      </c>
      <c r="CN185">
        <v>3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3</v>
      </c>
      <c r="CY185">
        <v>2</v>
      </c>
      <c r="CZ185">
        <v>2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2</v>
      </c>
      <c r="DK185">
        <v>6</v>
      </c>
      <c r="DL185">
        <v>5</v>
      </c>
      <c r="DM185">
        <v>0</v>
      </c>
      <c r="DN185">
        <v>0</v>
      </c>
      <c r="DO185">
        <v>0</v>
      </c>
      <c r="DP185">
        <v>1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6</v>
      </c>
      <c r="DW185">
        <v>11</v>
      </c>
      <c r="DX185">
        <v>1</v>
      </c>
      <c r="DY185">
        <v>4</v>
      </c>
      <c r="DZ185">
        <v>1</v>
      </c>
      <c r="EA185">
        <v>5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11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0</v>
      </c>
    </row>
    <row r="186" spans="1:150" ht="12.75">
      <c r="A186">
        <v>181</v>
      </c>
      <c r="B186" t="str">
        <f t="shared" si="33"/>
        <v>060611</v>
      </c>
      <c r="C186" t="str">
        <f t="shared" si="34"/>
        <v>Żółkiewka</v>
      </c>
      <c r="D186" t="str">
        <f t="shared" si="32"/>
        <v>krasnostawski</v>
      </c>
      <c r="E186" t="str">
        <f t="shared" si="27"/>
        <v>lubelskie</v>
      </c>
      <c r="F186">
        <v>7</v>
      </c>
      <c r="G186" t="str">
        <f>"Remiza OSP, Wierzchowina 162, 22-335 Żółkiewka"</f>
        <v>Remiza OSP, Wierzchowina 162, 22-335 Żółkiewka</v>
      </c>
      <c r="H186">
        <v>465</v>
      </c>
      <c r="I186">
        <v>465</v>
      </c>
      <c r="J186">
        <v>0</v>
      </c>
      <c r="K186">
        <v>319</v>
      </c>
      <c r="L186">
        <v>225</v>
      </c>
      <c r="M186">
        <v>94</v>
      </c>
      <c r="N186">
        <v>94</v>
      </c>
      <c r="O186">
        <v>0</v>
      </c>
      <c r="P186">
        <v>0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94</v>
      </c>
      <c r="Z186">
        <v>0</v>
      </c>
      <c r="AA186">
        <v>0</v>
      </c>
      <c r="AB186">
        <v>94</v>
      </c>
      <c r="AC186">
        <v>5</v>
      </c>
      <c r="AD186">
        <v>89</v>
      </c>
      <c r="AE186">
        <v>3</v>
      </c>
      <c r="AF186">
        <v>2</v>
      </c>
      <c r="AG186">
        <v>1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3</v>
      </c>
      <c r="AQ186">
        <v>1</v>
      </c>
      <c r="AR186">
        <v>0</v>
      </c>
      <c r="AS186">
        <v>0</v>
      </c>
      <c r="AT186">
        <v>0</v>
      </c>
      <c r="AU186">
        <v>0</v>
      </c>
      <c r="AV186">
        <v>1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1</v>
      </c>
      <c r="BC186">
        <v>8</v>
      </c>
      <c r="BD186">
        <v>1</v>
      </c>
      <c r="BE186">
        <v>1</v>
      </c>
      <c r="BF186">
        <v>1</v>
      </c>
      <c r="BG186">
        <v>0</v>
      </c>
      <c r="BH186">
        <v>5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8</v>
      </c>
      <c r="BO186">
        <v>37</v>
      </c>
      <c r="BP186">
        <v>11</v>
      </c>
      <c r="BQ186">
        <v>9</v>
      </c>
      <c r="BR186">
        <v>15</v>
      </c>
      <c r="BS186">
        <v>0</v>
      </c>
      <c r="BT186">
        <v>0</v>
      </c>
      <c r="BU186">
        <v>0</v>
      </c>
      <c r="BV186">
        <v>0</v>
      </c>
      <c r="BW186">
        <v>2</v>
      </c>
      <c r="BX186">
        <v>0</v>
      </c>
      <c r="BY186">
        <v>0</v>
      </c>
      <c r="BZ186">
        <v>37</v>
      </c>
      <c r="CA186">
        <v>1</v>
      </c>
      <c r="CB186">
        <v>0</v>
      </c>
      <c r="CC186">
        <v>1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1</v>
      </c>
      <c r="CM186">
        <v>1</v>
      </c>
      <c r="CN186">
        <v>1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1</v>
      </c>
      <c r="CY186">
        <v>9</v>
      </c>
      <c r="CZ186">
        <v>3</v>
      </c>
      <c r="DA186">
        <v>1</v>
      </c>
      <c r="DB186">
        <v>0</v>
      </c>
      <c r="DC186">
        <v>0</v>
      </c>
      <c r="DD186">
        <v>1</v>
      </c>
      <c r="DE186">
        <v>0</v>
      </c>
      <c r="DF186">
        <v>0</v>
      </c>
      <c r="DG186">
        <v>2</v>
      </c>
      <c r="DH186">
        <v>0</v>
      </c>
      <c r="DI186">
        <v>2</v>
      </c>
      <c r="DJ186">
        <v>9</v>
      </c>
      <c r="DK186">
        <v>4</v>
      </c>
      <c r="DL186">
        <v>0</v>
      </c>
      <c r="DM186">
        <v>0</v>
      </c>
      <c r="DN186">
        <v>0</v>
      </c>
      <c r="DO186">
        <v>0</v>
      </c>
      <c r="DP186">
        <v>3</v>
      </c>
      <c r="DQ186">
        <v>0</v>
      </c>
      <c r="DR186">
        <v>1</v>
      </c>
      <c r="DS186">
        <v>0</v>
      </c>
      <c r="DT186">
        <v>0</v>
      </c>
      <c r="DU186">
        <v>0</v>
      </c>
      <c r="DV186">
        <v>4</v>
      </c>
      <c r="DW186">
        <v>25</v>
      </c>
      <c r="DX186">
        <v>15</v>
      </c>
      <c r="DY186">
        <v>4</v>
      </c>
      <c r="DZ186">
        <v>1</v>
      </c>
      <c r="EA186">
        <v>4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1</v>
      </c>
      <c r="EH186">
        <v>25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0</v>
      </c>
      <c r="ET186">
        <v>0</v>
      </c>
    </row>
    <row r="187" spans="1:150" ht="12.75">
      <c r="A187">
        <v>182</v>
      </c>
      <c r="B187" t="str">
        <f t="shared" si="33"/>
        <v>060611</v>
      </c>
      <c r="C187" t="str">
        <f t="shared" si="34"/>
        <v>Żółkiewka</v>
      </c>
      <c r="D187" t="str">
        <f t="shared" si="32"/>
        <v>krasnostawski</v>
      </c>
      <c r="E187" t="str">
        <f t="shared" si="27"/>
        <v>lubelskie</v>
      </c>
      <c r="F187">
        <v>8</v>
      </c>
      <c r="G187" t="str">
        <f>"Remiza OSP, Chłaniów 137, 22-335 Żółkiewka"</f>
        <v>Remiza OSP, Chłaniów 137, 22-335 Żółkiewka</v>
      </c>
      <c r="H187">
        <v>561</v>
      </c>
      <c r="I187">
        <v>561</v>
      </c>
      <c r="J187">
        <v>0</v>
      </c>
      <c r="K187">
        <v>400</v>
      </c>
      <c r="L187">
        <v>294</v>
      </c>
      <c r="M187">
        <v>106</v>
      </c>
      <c r="N187">
        <v>106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106</v>
      </c>
      <c r="Z187">
        <v>0</v>
      </c>
      <c r="AA187">
        <v>0</v>
      </c>
      <c r="AB187">
        <v>106</v>
      </c>
      <c r="AC187">
        <v>0</v>
      </c>
      <c r="AD187">
        <v>106</v>
      </c>
      <c r="AE187">
        <v>7</v>
      </c>
      <c r="AF187">
        <v>2</v>
      </c>
      <c r="AG187">
        <v>2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3</v>
      </c>
      <c r="AP187">
        <v>7</v>
      </c>
      <c r="AQ187">
        <v>2</v>
      </c>
      <c r="AR187">
        <v>2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2</v>
      </c>
      <c r="BC187">
        <v>27</v>
      </c>
      <c r="BD187">
        <v>0</v>
      </c>
      <c r="BE187">
        <v>0</v>
      </c>
      <c r="BF187">
        <v>0</v>
      </c>
      <c r="BG187">
        <v>0</v>
      </c>
      <c r="BH187">
        <v>27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27</v>
      </c>
      <c r="BO187">
        <v>48</v>
      </c>
      <c r="BP187">
        <v>11</v>
      </c>
      <c r="BQ187">
        <v>12</v>
      </c>
      <c r="BR187">
        <v>21</v>
      </c>
      <c r="BS187">
        <v>1</v>
      </c>
      <c r="BT187">
        <v>0</v>
      </c>
      <c r="BU187">
        <v>0</v>
      </c>
      <c r="BV187">
        <v>0</v>
      </c>
      <c r="BW187">
        <v>2</v>
      </c>
      <c r="BX187">
        <v>0</v>
      </c>
      <c r="BY187">
        <v>1</v>
      </c>
      <c r="BZ187">
        <v>48</v>
      </c>
      <c r="CA187">
        <v>1</v>
      </c>
      <c r="CB187">
        <v>0</v>
      </c>
      <c r="CC187">
        <v>1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1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4</v>
      </c>
      <c r="CZ187">
        <v>1</v>
      </c>
      <c r="DA187">
        <v>0</v>
      </c>
      <c r="DB187">
        <v>0</v>
      </c>
      <c r="DC187">
        <v>0</v>
      </c>
      <c r="DD187">
        <v>0</v>
      </c>
      <c r="DE187">
        <v>1</v>
      </c>
      <c r="DF187">
        <v>0</v>
      </c>
      <c r="DG187">
        <v>0</v>
      </c>
      <c r="DH187">
        <v>0</v>
      </c>
      <c r="DI187">
        <v>2</v>
      </c>
      <c r="DJ187">
        <v>4</v>
      </c>
      <c r="DK187">
        <v>3</v>
      </c>
      <c r="DL187">
        <v>1</v>
      </c>
      <c r="DM187">
        <v>2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0</v>
      </c>
      <c r="DV187">
        <v>3</v>
      </c>
      <c r="DW187">
        <v>14</v>
      </c>
      <c r="DX187">
        <v>4</v>
      </c>
      <c r="DY187">
        <v>5</v>
      </c>
      <c r="DZ187">
        <v>0</v>
      </c>
      <c r="EA187">
        <v>4</v>
      </c>
      <c r="EB187">
        <v>1</v>
      </c>
      <c r="EC187">
        <v>0</v>
      </c>
      <c r="ED187">
        <v>0</v>
      </c>
      <c r="EE187">
        <v>0</v>
      </c>
      <c r="EF187">
        <v>0</v>
      </c>
      <c r="EG187">
        <v>0</v>
      </c>
      <c r="EH187">
        <v>14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0</v>
      </c>
      <c r="ES187">
        <v>0</v>
      </c>
      <c r="ET187">
        <v>0</v>
      </c>
    </row>
    <row r="188" spans="1:150" ht="12.75">
      <c r="A188">
        <v>183</v>
      </c>
      <c r="B188" t="str">
        <f aca="true" t="shared" si="35" ref="B188:B194">"061901"</f>
        <v>061901</v>
      </c>
      <c r="C188" t="str">
        <f aca="true" t="shared" si="36" ref="C188:C194">"m. Włodawa"</f>
        <v>m. Włodawa</v>
      </c>
      <c r="D188" t="str">
        <f aca="true" t="shared" si="37" ref="D188:D219">"włodawski"</f>
        <v>włodawski</v>
      </c>
      <c r="E188" t="str">
        <f t="shared" si="27"/>
        <v>lubelskie</v>
      </c>
      <c r="F188">
        <v>1</v>
      </c>
      <c r="G188" t="str">
        <f>"Sala gimnastyczna Zespołu Szkół Zawodowych i II LO we Włodawie, ul. Modrzewskiego 24, 22-200 Włodawa"</f>
        <v>Sala gimnastyczna Zespołu Szkół Zawodowych i II LO we Włodawie, ul. Modrzewskiego 24, 22-200 Włodawa</v>
      </c>
      <c r="H188">
        <v>2294</v>
      </c>
      <c r="I188">
        <v>2294</v>
      </c>
      <c r="J188">
        <v>0</v>
      </c>
      <c r="K188">
        <v>1599</v>
      </c>
      <c r="L188">
        <v>1078</v>
      </c>
      <c r="M188">
        <v>521</v>
      </c>
      <c r="N188">
        <v>521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521</v>
      </c>
      <c r="Z188">
        <v>0</v>
      </c>
      <c r="AA188">
        <v>0</v>
      </c>
      <c r="AB188">
        <v>521</v>
      </c>
      <c r="AC188">
        <v>11</v>
      </c>
      <c r="AD188">
        <v>510</v>
      </c>
      <c r="AE188">
        <v>8</v>
      </c>
      <c r="AF188">
        <v>4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4</v>
      </c>
      <c r="AP188">
        <v>8</v>
      </c>
      <c r="AQ188">
        <v>14</v>
      </c>
      <c r="AR188">
        <v>9</v>
      </c>
      <c r="AS188">
        <v>2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2</v>
      </c>
      <c r="BA188">
        <v>1</v>
      </c>
      <c r="BB188">
        <v>14</v>
      </c>
      <c r="BC188">
        <v>45</v>
      </c>
      <c r="BD188">
        <v>14</v>
      </c>
      <c r="BE188">
        <v>2</v>
      </c>
      <c r="BF188">
        <v>0</v>
      </c>
      <c r="BG188">
        <v>1</v>
      </c>
      <c r="BH188">
        <v>10</v>
      </c>
      <c r="BI188">
        <v>1</v>
      </c>
      <c r="BJ188">
        <v>3</v>
      </c>
      <c r="BK188">
        <v>1</v>
      </c>
      <c r="BL188">
        <v>10</v>
      </c>
      <c r="BM188">
        <v>3</v>
      </c>
      <c r="BN188">
        <v>45</v>
      </c>
      <c r="BO188">
        <v>180</v>
      </c>
      <c r="BP188">
        <v>51</v>
      </c>
      <c r="BQ188">
        <v>70</v>
      </c>
      <c r="BR188">
        <v>31</v>
      </c>
      <c r="BS188">
        <v>20</v>
      </c>
      <c r="BT188">
        <v>0</v>
      </c>
      <c r="BU188">
        <v>2</v>
      </c>
      <c r="BV188">
        <v>1</v>
      </c>
      <c r="BW188">
        <v>3</v>
      </c>
      <c r="BX188">
        <v>1</v>
      </c>
      <c r="BY188">
        <v>1</v>
      </c>
      <c r="BZ188">
        <v>180</v>
      </c>
      <c r="CA188">
        <v>19</v>
      </c>
      <c r="CB188">
        <v>9</v>
      </c>
      <c r="CC188">
        <v>8</v>
      </c>
      <c r="CD188">
        <v>0</v>
      </c>
      <c r="CE188">
        <v>2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19</v>
      </c>
      <c r="CM188">
        <v>16</v>
      </c>
      <c r="CN188">
        <v>8</v>
      </c>
      <c r="CO188">
        <v>1</v>
      </c>
      <c r="CP188">
        <v>0</v>
      </c>
      <c r="CQ188">
        <v>2</v>
      </c>
      <c r="CR188">
        <v>0</v>
      </c>
      <c r="CS188">
        <v>4</v>
      </c>
      <c r="CT188">
        <v>0</v>
      </c>
      <c r="CU188">
        <v>0</v>
      </c>
      <c r="CV188">
        <v>1</v>
      </c>
      <c r="CW188">
        <v>0</v>
      </c>
      <c r="CX188">
        <v>16</v>
      </c>
      <c r="CY188">
        <v>48</v>
      </c>
      <c r="CZ188">
        <v>14</v>
      </c>
      <c r="DA188">
        <v>1</v>
      </c>
      <c r="DB188">
        <v>2</v>
      </c>
      <c r="DC188">
        <v>0</v>
      </c>
      <c r="DD188">
        <v>1</v>
      </c>
      <c r="DE188">
        <v>1</v>
      </c>
      <c r="DF188">
        <v>0</v>
      </c>
      <c r="DG188">
        <v>1</v>
      </c>
      <c r="DH188">
        <v>0</v>
      </c>
      <c r="DI188">
        <v>28</v>
      </c>
      <c r="DJ188">
        <v>48</v>
      </c>
      <c r="DK188">
        <v>115</v>
      </c>
      <c r="DL188">
        <v>42</v>
      </c>
      <c r="DM188">
        <v>12</v>
      </c>
      <c r="DN188">
        <v>1</v>
      </c>
      <c r="DO188">
        <v>0</v>
      </c>
      <c r="DP188">
        <v>50</v>
      </c>
      <c r="DQ188">
        <v>4</v>
      </c>
      <c r="DR188">
        <v>0</v>
      </c>
      <c r="DS188">
        <v>4</v>
      </c>
      <c r="DT188">
        <v>1</v>
      </c>
      <c r="DU188">
        <v>1</v>
      </c>
      <c r="DV188">
        <v>115</v>
      </c>
      <c r="DW188">
        <v>63</v>
      </c>
      <c r="DX188">
        <v>0</v>
      </c>
      <c r="DY188">
        <v>17</v>
      </c>
      <c r="DZ188">
        <v>6</v>
      </c>
      <c r="EA188">
        <v>33</v>
      </c>
      <c r="EB188">
        <v>0</v>
      </c>
      <c r="EC188">
        <v>1</v>
      </c>
      <c r="ED188">
        <v>5</v>
      </c>
      <c r="EE188">
        <v>0</v>
      </c>
      <c r="EF188">
        <v>0</v>
      </c>
      <c r="EG188">
        <v>1</v>
      </c>
      <c r="EH188">
        <v>63</v>
      </c>
      <c r="EI188">
        <v>2</v>
      </c>
      <c r="EJ188">
        <v>0</v>
      </c>
      <c r="EK188">
        <v>1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0</v>
      </c>
      <c r="ER188">
        <v>0</v>
      </c>
      <c r="ES188">
        <v>1</v>
      </c>
      <c r="ET188">
        <v>2</v>
      </c>
    </row>
    <row r="189" spans="1:150" ht="12.75">
      <c r="A189">
        <v>184</v>
      </c>
      <c r="B189" t="str">
        <f t="shared" si="35"/>
        <v>061901</v>
      </c>
      <c r="C189" t="str">
        <f t="shared" si="36"/>
        <v>m. Włodawa</v>
      </c>
      <c r="D189" t="str">
        <f t="shared" si="37"/>
        <v>włodawski</v>
      </c>
      <c r="E189" t="str">
        <f t="shared" si="27"/>
        <v>lubelskie</v>
      </c>
      <c r="F189">
        <v>2</v>
      </c>
      <c r="G189" t="str">
        <f>"Sala konferencyjna Urzędu Miejskiego, Al. Józefa Piłsudskiego 41, 22-200 Włodawa"</f>
        <v>Sala konferencyjna Urzędu Miejskiego, Al. Józefa Piłsudskiego 41, 22-200 Włodawa</v>
      </c>
      <c r="H189">
        <v>2156</v>
      </c>
      <c r="I189">
        <v>2156</v>
      </c>
      <c r="J189">
        <v>0</v>
      </c>
      <c r="K189">
        <v>1490</v>
      </c>
      <c r="L189">
        <v>1028</v>
      </c>
      <c r="M189">
        <v>462</v>
      </c>
      <c r="N189">
        <v>462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462</v>
      </c>
      <c r="Z189">
        <v>0</v>
      </c>
      <c r="AA189">
        <v>0</v>
      </c>
      <c r="AB189">
        <v>462</v>
      </c>
      <c r="AC189">
        <v>9</v>
      </c>
      <c r="AD189">
        <v>453</v>
      </c>
      <c r="AE189">
        <v>4</v>
      </c>
      <c r="AF189">
        <v>1</v>
      </c>
      <c r="AG189">
        <v>0</v>
      </c>
      <c r="AH189">
        <v>0</v>
      </c>
      <c r="AI189">
        <v>1</v>
      </c>
      <c r="AJ189">
        <v>0</v>
      </c>
      <c r="AK189">
        <v>0</v>
      </c>
      <c r="AL189">
        <v>1</v>
      </c>
      <c r="AM189">
        <v>0</v>
      </c>
      <c r="AN189">
        <v>0</v>
      </c>
      <c r="AO189">
        <v>1</v>
      </c>
      <c r="AP189">
        <v>4</v>
      </c>
      <c r="AQ189">
        <v>17</v>
      </c>
      <c r="AR189">
        <v>10</v>
      </c>
      <c r="AS189">
        <v>3</v>
      </c>
      <c r="AT189">
        <v>0</v>
      </c>
      <c r="AU189">
        <v>0</v>
      </c>
      <c r="AV189">
        <v>0</v>
      </c>
      <c r="AW189">
        <v>2</v>
      </c>
      <c r="AX189">
        <v>1</v>
      </c>
      <c r="AY189">
        <v>0</v>
      </c>
      <c r="AZ189">
        <v>1</v>
      </c>
      <c r="BA189">
        <v>0</v>
      </c>
      <c r="BB189">
        <v>17</v>
      </c>
      <c r="BC189">
        <v>34</v>
      </c>
      <c r="BD189">
        <v>10</v>
      </c>
      <c r="BE189">
        <v>3</v>
      </c>
      <c r="BF189">
        <v>2</v>
      </c>
      <c r="BG189">
        <v>0</v>
      </c>
      <c r="BH189">
        <v>5</v>
      </c>
      <c r="BI189">
        <v>1</v>
      </c>
      <c r="BJ189">
        <v>2</v>
      </c>
      <c r="BK189">
        <v>1</v>
      </c>
      <c r="BL189">
        <v>10</v>
      </c>
      <c r="BM189">
        <v>0</v>
      </c>
      <c r="BN189">
        <v>34</v>
      </c>
      <c r="BO189">
        <v>176</v>
      </c>
      <c r="BP189">
        <v>26</v>
      </c>
      <c r="BQ189">
        <v>88</v>
      </c>
      <c r="BR189">
        <v>23</v>
      </c>
      <c r="BS189">
        <v>26</v>
      </c>
      <c r="BT189">
        <v>2</v>
      </c>
      <c r="BU189">
        <v>2</v>
      </c>
      <c r="BV189">
        <v>0</v>
      </c>
      <c r="BW189">
        <v>5</v>
      </c>
      <c r="BX189">
        <v>0</v>
      </c>
      <c r="BY189">
        <v>4</v>
      </c>
      <c r="BZ189">
        <v>176</v>
      </c>
      <c r="CA189">
        <v>18</v>
      </c>
      <c r="CB189">
        <v>13</v>
      </c>
      <c r="CC189">
        <v>3</v>
      </c>
      <c r="CD189">
        <v>0</v>
      </c>
      <c r="CE189">
        <v>1</v>
      </c>
      <c r="CF189">
        <v>0</v>
      </c>
      <c r="CG189">
        <v>0</v>
      </c>
      <c r="CH189">
        <v>1</v>
      </c>
      <c r="CI189">
        <v>0</v>
      </c>
      <c r="CJ189">
        <v>0</v>
      </c>
      <c r="CK189">
        <v>0</v>
      </c>
      <c r="CL189">
        <v>18</v>
      </c>
      <c r="CM189">
        <v>12</v>
      </c>
      <c r="CN189">
        <v>8</v>
      </c>
      <c r="CO189">
        <v>0</v>
      </c>
      <c r="CP189">
        <v>2</v>
      </c>
      <c r="CQ189">
        <v>0</v>
      </c>
      <c r="CR189">
        <v>1</v>
      </c>
      <c r="CS189">
        <v>0</v>
      </c>
      <c r="CT189">
        <v>1</v>
      </c>
      <c r="CU189">
        <v>0</v>
      </c>
      <c r="CV189">
        <v>0</v>
      </c>
      <c r="CW189">
        <v>0</v>
      </c>
      <c r="CX189">
        <v>12</v>
      </c>
      <c r="CY189">
        <v>24</v>
      </c>
      <c r="CZ189">
        <v>6</v>
      </c>
      <c r="DA189">
        <v>3</v>
      </c>
      <c r="DB189">
        <v>2</v>
      </c>
      <c r="DC189">
        <v>0</v>
      </c>
      <c r="DD189">
        <v>4</v>
      </c>
      <c r="DE189">
        <v>0</v>
      </c>
      <c r="DF189">
        <v>2</v>
      </c>
      <c r="DG189">
        <v>1</v>
      </c>
      <c r="DH189">
        <v>1</v>
      </c>
      <c r="DI189">
        <v>5</v>
      </c>
      <c r="DJ189">
        <v>24</v>
      </c>
      <c r="DK189">
        <v>104</v>
      </c>
      <c r="DL189">
        <v>41</v>
      </c>
      <c r="DM189">
        <v>5</v>
      </c>
      <c r="DN189">
        <v>4</v>
      </c>
      <c r="DO189">
        <v>0</v>
      </c>
      <c r="DP189">
        <v>49</v>
      </c>
      <c r="DQ189">
        <v>2</v>
      </c>
      <c r="DR189">
        <v>0</v>
      </c>
      <c r="DS189">
        <v>2</v>
      </c>
      <c r="DT189">
        <v>0</v>
      </c>
      <c r="DU189">
        <v>1</v>
      </c>
      <c r="DV189">
        <v>104</v>
      </c>
      <c r="DW189">
        <v>62</v>
      </c>
      <c r="DX189">
        <v>4</v>
      </c>
      <c r="DY189">
        <v>28</v>
      </c>
      <c r="DZ189">
        <v>5</v>
      </c>
      <c r="EA189">
        <v>23</v>
      </c>
      <c r="EB189">
        <v>1</v>
      </c>
      <c r="EC189">
        <v>0</v>
      </c>
      <c r="ED189">
        <v>0</v>
      </c>
      <c r="EE189">
        <v>0</v>
      </c>
      <c r="EF189">
        <v>1</v>
      </c>
      <c r="EG189">
        <v>0</v>
      </c>
      <c r="EH189">
        <v>62</v>
      </c>
      <c r="EI189">
        <v>2</v>
      </c>
      <c r="EJ189">
        <v>0</v>
      </c>
      <c r="EK189">
        <v>0</v>
      </c>
      <c r="EL189">
        <v>0</v>
      </c>
      <c r="EM189">
        <v>0</v>
      </c>
      <c r="EN189">
        <v>1</v>
      </c>
      <c r="EO189">
        <v>0</v>
      </c>
      <c r="EP189">
        <v>0</v>
      </c>
      <c r="EQ189">
        <v>0</v>
      </c>
      <c r="ER189">
        <v>1</v>
      </c>
      <c r="ES189">
        <v>0</v>
      </c>
      <c r="ET189">
        <v>2</v>
      </c>
    </row>
    <row r="190" spans="1:150" ht="12.75">
      <c r="A190">
        <v>185</v>
      </c>
      <c r="B190" t="str">
        <f t="shared" si="35"/>
        <v>061901</v>
      </c>
      <c r="C190" t="str">
        <f t="shared" si="36"/>
        <v>m. Włodawa</v>
      </c>
      <c r="D190" t="str">
        <f t="shared" si="37"/>
        <v>włodawski</v>
      </c>
      <c r="E190" t="str">
        <f t="shared" si="27"/>
        <v>lubelskie</v>
      </c>
      <c r="F190">
        <v>3</v>
      </c>
      <c r="G190" t="str">
        <f>"Lokal świetlicy Szkoły Podstawowej nr 2, ul. Kopernika 3, 22-200 Włodawa"</f>
        <v>Lokal świetlicy Szkoły Podstawowej nr 2, ul. Kopernika 3, 22-200 Włodawa</v>
      </c>
      <c r="H190">
        <v>2355</v>
      </c>
      <c r="I190">
        <v>2355</v>
      </c>
      <c r="J190">
        <v>0</v>
      </c>
      <c r="K190">
        <v>1660</v>
      </c>
      <c r="L190">
        <v>1120</v>
      </c>
      <c r="M190">
        <v>540</v>
      </c>
      <c r="N190">
        <v>540</v>
      </c>
      <c r="O190">
        <v>0</v>
      </c>
      <c r="P190">
        <v>0</v>
      </c>
      <c r="Q190">
        <v>2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540</v>
      </c>
      <c r="Z190">
        <v>0</v>
      </c>
      <c r="AA190">
        <v>0</v>
      </c>
      <c r="AB190">
        <v>540</v>
      </c>
      <c r="AC190">
        <v>11</v>
      </c>
      <c r="AD190">
        <v>529</v>
      </c>
      <c r="AE190">
        <v>9</v>
      </c>
      <c r="AF190">
        <v>3</v>
      </c>
      <c r="AG190">
        <v>3</v>
      </c>
      <c r="AH190">
        <v>1</v>
      </c>
      <c r="AI190">
        <v>0</v>
      </c>
      <c r="AJ190">
        <v>1</v>
      </c>
      <c r="AK190">
        <v>0</v>
      </c>
      <c r="AL190">
        <v>0</v>
      </c>
      <c r="AM190">
        <v>1</v>
      </c>
      <c r="AN190">
        <v>0</v>
      </c>
      <c r="AO190">
        <v>0</v>
      </c>
      <c r="AP190">
        <v>9</v>
      </c>
      <c r="AQ190">
        <v>19</v>
      </c>
      <c r="AR190">
        <v>12</v>
      </c>
      <c r="AS190">
        <v>2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5</v>
      </c>
      <c r="BB190">
        <v>19</v>
      </c>
      <c r="BC190">
        <v>49</v>
      </c>
      <c r="BD190">
        <v>16</v>
      </c>
      <c r="BE190">
        <v>2</v>
      </c>
      <c r="BF190">
        <v>6</v>
      </c>
      <c r="BG190">
        <v>0</v>
      </c>
      <c r="BH190">
        <v>8</v>
      </c>
      <c r="BI190">
        <v>0</v>
      </c>
      <c r="BJ190">
        <v>2</v>
      </c>
      <c r="BK190">
        <v>0</v>
      </c>
      <c r="BL190">
        <v>13</v>
      </c>
      <c r="BM190">
        <v>2</v>
      </c>
      <c r="BN190">
        <v>49</v>
      </c>
      <c r="BO190">
        <v>193</v>
      </c>
      <c r="BP190">
        <v>38</v>
      </c>
      <c r="BQ190">
        <v>101</v>
      </c>
      <c r="BR190">
        <v>10</v>
      </c>
      <c r="BS190">
        <v>30</v>
      </c>
      <c r="BT190">
        <v>5</v>
      </c>
      <c r="BU190">
        <v>1</v>
      </c>
      <c r="BV190">
        <v>0</v>
      </c>
      <c r="BW190">
        <v>4</v>
      </c>
      <c r="BX190">
        <v>1</v>
      </c>
      <c r="BY190">
        <v>3</v>
      </c>
      <c r="BZ190">
        <v>193</v>
      </c>
      <c r="CA190">
        <v>22</v>
      </c>
      <c r="CB190">
        <v>10</v>
      </c>
      <c r="CC190">
        <v>10</v>
      </c>
      <c r="CD190">
        <v>0</v>
      </c>
      <c r="CE190">
        <v>0</v>
      </c>
      <c r="CF190">
        <v>1</v>
      </c>
      <c r="CG190">
        <v>0</v>
      </c>
      <c r="CH190">
        <v>1</v>
      </c>
      <c r="CI190">
        <v>0</v>
      </c>
      <c r="CJ190">
        <v>0</v>
      </c>
      <c r="CK190">
        <v>0</v>
      </c>
      <c r="CL190">
        <v>22</v>
      </c>
      <c r="CM190">
        <v>12</v>
      </c>
      <c r="CN190">
        <v>7</v>
      </c>
      <c r="CO190">
        <v>0</v>
      </c>
      <c r="CP190">
        <v>0</v>
      </c>
      <c r="CQ190">
        <v>1</v>
      </c>
      <c r="CR190">
        <v>1</v>
      </c>
      <c r="CS190">
        <v>0</v>
      </c>
      <c r="CT190">
        <v>0</v>
      </c>
      <c r="CU190">
        <v>0</v>
      </c>
      <c r="CV190">
        <v>3</v>
      </c>
      <c r="CW190">
        <v>0</v>
      </c>
      <c r="CX190">
        <v>12</v>
      </c>
      <c r="CY190">
        <v>45</v>
      </c>
      <c r="CZ190">
        <v>17</v>
      </c>
      <c r="DA190">
        <v>0</v>
      </c>
      <c r="DB190">
        <v>3</v>
      </c>
      <c r="DC190">
        <v>1</v>
      </c>
      <c r="DD190">
        <v>2</v>
      </c>
      <c r="DE190">
        <v>2</v>
      </c>
      <c r="DF190">
        <v>0</v>
      </c>
      <c r="DG190">
        <v>0</v>
      </c>
      <c r="DH190">
        <v>0</v>
      </c>
      <c r="DI190">
        <v>20</v>
      </c>
      <c r="DJ190">
        <v>45</v>
      </c>
      <c r="DK190">
        <v>124</v>
      </c>
      <c r="DL190">
        <v>47</v>
      </c>
      <c r="DM190">
        <v>10</v>
      </c>
      <c r="DN190">
        <v>3</v>
      </c>
      <c r="DO190">
        <v>3</v>
      </c>
      <c r="DP190">
        <v>54</v>
      </c>
      <c r="DQ190">
        <v>2</v>
      </c>
      <c r="DR190">
        <v>1</v>
      </c>
      <c r="DS190">
        <v>1</v>
      </c>
      <c r="DT190">
        <v>1</v>
      </c>
      <c r="DU190">
        <v>2</v>
      </c>
      <c r="DV190">
        <v>124</v>
      </c>
      <c r="DW190">
        <v>52</v>
      </c>
      <c r="DX190">
        <v>6</v>
      </c>
      <c r="DY190">
        <v>7</v>
      </c>
      <c r="DZ190">
        <v>0</v>
      </c>
      <c r="EA190">
        <v>28</v>
      </c>
      <c r="EB190">
        <v>3</v>
      </c>
      <c r="EC190">
        <v>0</v>
      </c>
      <c r="ED190">
        <v>6</v>
      </c>
      <c r="EE190">
        <v>0</v>
      </c>
      <c r="EF190">
        <v>1</v>
      </c>
      <c r="EG190">
        <v>1</v>
      </c>
      <c r="EH190">
        <v>52</v>
      </c>
      <c r="EI190">
        <v>4</v>
      </c>
      <c r="EJ190">
        <v>2</v>
      </c>
      <c r="EK190">
        <v>0</v>
      </c>
      <c r="EL190">
        <v>0</v>
      </c>
      <c r="EM190">
        <v>0</v>
      </c>
      <c r="EN190">
        <v>0</v>
      </c>
      <c r="EO190">
        <v>2</v>
      </c>
      <c r="EP190">
        <v>0</v>
      </c>
      <c r="EQ190">
        <v>0</v>
      </c>
      <c r="ER190">
        <v>0</v>
      </c>
      <c r="ES190">
        <v>0</v>
      </c>
      <c r="ET190">
        <v>4</v>
      </c>
    </row>
    <row r="191" spans="1:150" ht="12.75">
      <c r="A191">
        <v>186</v>
      </c>
      <c r="B191" t="str">
        <f t="shared" si="35"/>
        <v>061901</v>
      </c>
      <c r="C191" t="str">
        <f t="shared" si="36"/>
        <v>m. Włodawa</v>
      </c>
      <c r="D191" t="str">
        <f t="shared" si="37"/>
        <v>włodawski</v>
      </c>
      <c r="E191" t="str">
        <f t="shared" si="27"/>
        <v>lubelskie</v>
      </c>
      <c r="F191">
        <v>4</v>
      </c>
      <c r="G191" t="str">
        <f>"Mała Synagoga Muzeum Pojezierza Łęczyńsko-Włodawskiego, ul. Czerwonego Krzyża 7, 22-200 Włodawa"</f>
        <v>Mała Synagoga Muzeum Pojezierza Łęczyńsko-Włodawskiego, ul. Czerwonego Krzyża 7, 22-200 Włodawa</v>
      </c>
      <c r="H191">
        <v>2069</v>
      </c>
      <c r="I191">
        <v>2069</v>
      </c>
      <c r="J191">
        <v>0</v>
      </c>
      <c r="K191">
        <v>1430</v>
      </c>
      <c r="L191">
        <v>942</v>
      </c>
      <c r="M191">
        <v>488</v>
      </c>
      <c r="N191">
        <v>488</v>
      </c>
      <c r="O191">
        <v>0</v>
      </c>
      <c r="P191">
        <v>0</v>
      </c>
      <c r="Q191">
        <v>2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488</v>
      </c>
      <c r="Z191">
        <v>0</v>
      </c>
      <c r="AA191">
        <v>0</v>
      </c>
      <c r="AB191">
        <v>488</v>
      </c>
      <c r="AC191">
        <v>8</v>
      </c>
      <c r="AD191">
        <v>480</v>
      </c>
      <c r="AE191">
        <v>9</v>
      </c>
      <c r="AF191">
        <v>2</v>
      </c>
      <c r="AG191">
        <v>2</v>
      </c>
      <c r="AH191">
        <v>0</v>
      </c>
      <c r="AI191">
        <v>1</v>
      </c>
      <c r="AJ191">
        <v>0</v>
      </c>
      <c r="AK191">
        <v>1</v>
      </c>
      <c r="AL191">
        <v>0</v>
      </c>
      <c r="AM191">
        <v>1</v>
      </c>
      <c r="AN191">
        <v>2</v>
      </c>
      <c r="AO191">
        <v>0</v>
      </c>
      <c r="AP191">
        <v>9</v>
      </c>
      <c r="AQ191">
        <v>6</v>
      </c>
      <c r="AR191">
        <v>4</v>
      </c>
      <c r="AS191">
        <v>1</v>
      </c>
      <c r="AT191">
        <v>1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6</v>
      </c>
      <c r="BC191">
        <v>48</v>
      </c>
      <c r="BD191">
        <v>27</v>
      </c>
      <c r="BE191">
        <v>1</v>
      </c>
      <c r="BF191">
        <v>4</v>
      </c>
      <c r="BG191">
        <v>0</v>
      </c>
      <c r="BH191">
        <v>4</v>
      </c>
      <c r="BI191">
        <v>0</v>
      </c>
      <c r="BJ191">
        <v>1</v>
      </c>
      <c r="BK191">
        <v>2</v>
      </c>
      <c r="BL191">
        <v>6</v>
      </c>
      <c r="BM191">
        <v>3</v>
      </c>
      <c r="BN191">
        <v>48</v>
      </c>
      <c r="BO191">
        <v>201</v>
      </c>
      <c r="BP191">
        <v>40</v>
      </c>
      <c r="BQ191">
        <v>100</v>
      </c>
      <c r="BR191">
        <v>20</v>
      </c>
      <c r="BS191">
        <v>34</v>
      </c>
      <c r="BT191">
        <v>0</v>
      </c>
      <c r="BU191">
        <v>2</v>
      </c>
      <c r="BV191">
        <v>2</v>
      </c>
      <c r="BW191">
        <v>3</v>
      </c>
      <c r="BX191">
        <v>0</v>
      </c>
      <c r="BY191">
        <v>0</v>
      </c>
      <c r="BZ191">
        <v>201</v>
      </c>
      <c r="CA191">
        <v>31</v>
      </c>
      <c r="CB191">
        <v>19</v>
      </c>
      <c r="CC191">
        <v>6</v>
      </c>
      <c r="CD191">
        <v>0</v>
      </c>
      <c r="CE191">
        <v>1</v>
      </c>
      <c r="CF191">
        <v>3</v>
      </c>
      <c r="CG191">
        <v>0</v>
      </c>
      <c r="CH191">
        <v>1</v>
      </c>
      <c r="CI191">
        <v>0</v>
      </c>
      <c r="CJ191">
        <v>1</v>
      </c>
      <c r="CK191">
        <v>0</v>
      </c>
      <c r="CL191">
        <v>31</v>
      </c>
      <c r="CM191">
        <v>9</v>
      </c>
      <c r="CN191">
        <v>7</v>
      </c>
      <c r="CO191">
        <v>0</v>
      </c>
      <c r="CP191">
        <v>0</v>
      </c>
      <c r="CQ191">
        <v>2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9</v>
      </c>
      <c r="CY191">
        <v>19</v>
      </c>
      <c r="CZ191">
        <v>5</v>
      </c>
      <c r="DA191">
        <v>2</v>
      </c>
      <c r="DB191">
        <v>0</v>
      </c>
      <c r="DC191">
        <v>0</v>
      </c>
      <c r="DD191">
        <v>0</v>
      </c>
      <c r="DE191">
        <v>1</v>
      </c>
      <c r="DF191">
        <v>1</v>
      </c>
      <c r="DG191">
        <v>1</v>
      </c>
      <c r="DH191">
        <v>0</v>
      </c>
      <c r="DI191">
        <v>9</v>
      </c>
      <c r="DJ191">
        <v>19</v>
      </c>
      <c r="DK191">
        <v>96</v>
      </c>
      <c r="DL191">
        <v>37</v>
      </c>
      <c r="DM191">
        <v>15</v>
      </c>
      <c r="DN191">
        <v>4</v>
      </c>
      <c r="DO191">
        <v>2</v>
      </c>
      <c r="DP191">
        <v>33</v>
      </c>
      <c r="DQ191">
        <v>2</v>
      </c>
      <c r="DR191">
        <v>1</v>
      </c>
      <c r="DS191">
        <v>0</v>
      </c>
      <c r="DT191">
        <v>2</v>
      </c>
      <c r="DU191">
        <v>0</v>
      </c>
      <c r="DV191">
        <v>96</v>
      </c>
      <c r="DW191">
        <v>54</v>
      </c>
      <c r="DX191">
        <v>6</v>
      </c>
      <c r="DY191">
        <v>9</v>
      </c>
      <c r="DZ191">
        <v>4</v>
      </c>
      <c r="EA191">
        <v>25</v>
      </c>
      <c r="EB191">
        <v>2</v>
      </c>
      <c r="EC191">
        <v>0</v>
      </c>
      <c r="ED191">
        <v>7</v>
      </c>
      <c r="EE191">
        <v>0</v>
      </c>
      <c r="EF191">
        <v>0</v>
      </c>
      <c r="EG191">
        <v>1</v>
      </c>
      <c r="EH191">
        <v>54</v>
      </c>
      <c r="EI191">
        <v>7</v>
      </c>
      <c r="EJ191">
        <v>3</v>
      </c>
      <c r="EK191">
        <v>1</v>
      </c>
      <c r="EL191">
        <v>0</v>
      </c>
      <c r="EM191">
        <v>0</v>
      </c>
      <c r="EN191">
        <v>2</v>
      </c>
      <c r="EO191">
        <v>0</v>
      </c>
      <c r="EP191">
        <v>0</v>
      </c>
      <c r="EQ191">
        <v>0</v>
      </c>
      <c r="ER191">
        <v>0</v>
      </c>
      <c r="ES191">
        <v>1</v>
      </c>
      <c r="ET191">
        <v>7</v>
      </c>
    </row>
    <row r="192" spans="1:150" ht="12.75">
      <c r="A192">
        <v>187</v>
      </c>
      <c r="B192" t="str">
        <f t="shared" si="35"/>
        <v>061901</v>
      </c>
      <c r="C192" t="str">
        <f t="shared" si="36"/>
        <v>m. Włodawa</v>
      </c>
      <c r="D192" t="str">
        <f t="shared" si="37"/>
        <v>włodawski</v>
      </c>
      <c r="E192" t="str">
        <f t="shared" si="27"/>
        <v>lubelskie</v>
      </c>
      <c r="F192">
        <v>5</v>
      </c>
      <c r="G192" t="str">
        <f>"Lokal holu Szkoły Podstawowej Nr 3, ul. Prof. Zbigniewa Sierpińskiego 4, 22-200 Włodawa"</f>
        <v>Lokal holu Szkoły Podstawowej Nr 3, ul. Prof. Zbigniewa Sierpińskiego 4, 22-200 Włodawa</v>
      </c>
      <c r="H192">
        <v>2320</v>
      </c>
      <c r="I192">
        <v>2320</v>
      </c>
      <c r="J192">
        <v>0</v>
      </c>
      <c r="K192">
        <v>1630</v>
      </c>
      <c r="L192">
        <v>1099</v>
      </c>
      <c r="M192">
        <v>531</v>
      </c>
      <c r="N192">
        <v>531</v>
      </c>
      <c r="O192">
        <v>0</v>
      </c>
      <c r="P192">
        <v>0</v>
      </c>
      <c r="Q192">
        <v>5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531</v>
      </c>
      <c r="Z192">
        <v>0</v>
      </c>
      <c r="AA192">
        <v>0</v>
      </c>
      <c r="AB192">
        <v>531</v>
      </c>
      <c r="AC192">
        <v>6</v>
      </c>
      <c r="AD192">
        <v>525</v>
      </c>
      <c r="AE192">
        <v>11</v>
      </c>
      <c r="AF192">
        <v>4</v>
      </c>
      <c r="AG192">
        <v>0</v>
      </c>
      <c r="AH192">
        <v>1</v>
      </c>
      <c r="AI192">
        <v>1</v>
      </c>
      <c r="AJ192">
        <v>2</v>
      </c>
      <c r="AK192">
        <v>1</v>
      </c>
      <c r="AL192">
        <v>0</v>
      </c>
      <c r="AM192">
        <v>0</v>
      </c>
      <c r="AN192">
        <v>2</v>
      </c>
      <c r="AO192">
        <v>0</v>
      </c>
      <c r="AP192">
        <v>11</v>
      </c>
      <c r="AQ192">
        <v>20</v>
      </c>
      <c r="AR192">
        <v>14</v>
      </c>
      <c r="AS192">
        <v>2</v>
      </c>
      <c r="AT192">
        <v>1</v>
      </c>
      <c r="AU192">
        <v>0</v>
      </c>
      <c r="AV192">
        <v>0</v>
      </c>
      <c r="AW192">
        <v>0</v>
      </c>
      <c r="AX192">
        <v>3</v>
      </c>
      <c r="AY192">
        <v>0</v>
      </c>
      <c r="AZ192">
        <v>0</v>
      </c>
      <c r="BA192">
        <v>0</v>
      </c>
      <c r="BB192">
        <v>20</v>
      </c>
      <c r="BC192">
        <v>55</v>
      </c>
      <c r="BD192">
        <v>27</v>
      </c>
      <c r="BE192">
        <v>0</v>
      </c>
      <c r="BF192">
        <v>2</v>
      </c>
      <c r="BG192">
        <v>2</v>
      </c>
      <c r="BH192">
        <v>3</v>
      </c>
      <c r="BI192">
        <v>0</v>
      </c>
      <c r="BJ192">
        <v>0</v>
      </c>
      <c r="BK192">
        <v>3</v>
      </c>
      <c r="BL192">
        <v>17</v>
      </c>
      <c r="BM192">
        <v>1</v>
      </c>
      <c r="BN192">
        <v>55</v>
      </c>
      <c r="BO192">
        <v>178</v>
      </c>
      <c r="BP192">
        <v>26</v>
      </c>
      <c r="BQ192">
        <v>96</v>
      </c>
      <c r="BR192">
        <v>27</v>
      </c>
      <c r="BS192">
        <v>20</v>
      </c>
      <c r="BT192">
        <v>3</v>
      </c>
      <c r="BU192">
        <v>0</v>
      </c>
      <c r="BV192">
        <v>1</v>
      </c>
      <c r="BW192">
        <v>3</v>
      </c>
      <c r="BX192">
        <v>0</v>
      </c>
      <c r="BY192">
        <v>2</v>
      </c>
      <c r="BZ192">
        <v>178</v>
      </c>
      <c r="CA192">
        <v>21</v>
      </c>
      <c r="CB192">
        <v>16</v>
      </c>
      <c r="CC192">
        <v>4</v>
      </c>
      <c r="CD192">
        <v>0</v>
      </c>
      <c r="CE192">
        <v>0</v>
      </c>
      <c r="CF192">
        <v>0</v>
      </c>
      <c r="CG192">
        <v>0</v>
      </c>
      <c r="CH192">
        <v>1</v>
      </c>
      <c r="CI192">
        <v>0</v>
      </c>
      <c r="CJ192">
        <v>0</v>
      </c>
      <c r="CK192">
        <v>0</v>
      </c>
      <c r="CL192">
        <v>21</v>
      </c>
      <c r="CM192">
        <v>16</v>
      </c>
      <c r="CN192">
        <v>13</v>
      </c>
      <c r="CO192">
        <v>0</v>
      </c>
      <c r="CP192">
        <v>3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16</v>
      </c>
      <c r="CY192">
        <v>41</v>
      </c>
      <c r="CZ192">
        <v>14</v>
      </c>
      <c r="DA192">
        <v>0</v>
      </c>
      <c r="DB192">
        <v>3</v>
      </c>
      <c r="DC192">
        <v>1</v>
      </c>
      <c r="DD192">
        <v>0</v>
      </c>
      <c r="DE192">
        <v>2</v>
      </c>
      <c r="DF192">
        <v>0</v>
      </c>
      <c r="DG192">
        <v>1</v>
      </c>
      <c r="DH192">
        <v>0</v>
      </c>
      <c r="DI192">
        <v>20</v>
      </c>
      <c r="DJ192">
        <v>41</v>
      </c>
      <c r="DK192">
        <v>130</v>
      </c>
      <c r="DL192">
        <v>51</v>
      </c>
      <c r="DM192">
        <v>13</v>
      </c>
      <c r="DN192">
        <v>5</v>
      </c>
      <c r="DO192">
        <v>0</v>
      </c>
      <c r="DP192">
        <v>58</v>
      </c>
      <c r="DQ192">
        <v>1</v>
      </c>
      <c r="DR192">
        <v>1</v>
      </c>
      <c r="DS192">
        <v>0</v>
      </c>
      <c r="DT192">
        <v>0</v>
      </c>
      <c r="DU192">
        <v>1</v>
      </c>
      <c r="DV192">
        <v>130</v>
      </c>
      <c r="DW192">
        <v>47</v>
      </c>
      <c r="DX192">
        <v>1</v>
      </c>
      <c r="DY192">
        <v>19</v>
      </c>
      <c r="DZ192">
        <v>3</v>
      </c>
      <c r="EA192">
        <v>14</v>
      </c>
      <c r="EB192">
        <v>1</v>
      </c>
      <c r="EC192">
        <v>0</v>
      </c>
      <c r="ED192">
        <v>7</v>
      </c>
      <c r="EE192">
        <v>1</v>
      </c>
      <c r="EF192">
        <v>1</v>
      </c>
      <c r="EG192">
        <v>0</v>
      </c>
      <c r="EH192">
        <v>47</v>
      </c>
      <c r="EI192">
        <v>6</v>
      </c>
      <c r="EJ192">
        <v>0</v>
      </c>
      <c r="EK192">
        <v>1</v>
      </c>
      <c r="EL192">
        <v>0</v>
      </c>
      <c r="EM192">
        <v>0</v>
      </c>
      <c r="EN192">
        <v>0</v>
      </c>
      <c r="EO192">
        <v>1</v>
      </c>
      <c r="EP192">
        <v>0</v>
      </c>
      <c r="EQ192">
        <v>2</v>
      </c>
      <c r="ER192">
        <v>0</v>
      </c>
      <c r="ES192">
        <v>2</v>
      </c>
      <c r="ET192">
        <v>6</v>
      </c>
    </row>
    <row r="193" spans="1:150" ht="12.75">
      <c r="A193">
        <v>188</v>
      </c>
      <c r="B193" t="str">
        <f t="shared" si="35"/>
        <v>061901</v>
      </c>
      <c r="C193" t="str">
        <f t="shared" si="36"/>
        <v>m. Włodawa</v>
      </c>
      <c r="D193" t="str">
        <f t="shared" si="37"/>
        <v>włodawski</v>
      </c>
      <c r="E193" t="str">
        <f t="shared" si="27"/>
        <v>lubelskie</v>
      </c>
      <c r="F193">
        <v>6</v>
      </c>
      <c r="G193" t="str">
        <f>"Świetlica Zakład Karny, Żołnierzy WiN 19, 22-200 Włodawa"</f>
        <v>Świetlica Zakład Karny, Żołnierzy WiN 19, 22-200 Włodawa</v>
      </c>
      <c r="H193">
        <v>442</v>
      </c>
      <c r="I193">
        <v>442</v>
      </c>
      <c r="J193">
        <v>0</v>
      </c>
      <c r="K193">
        <v>460</v>
      </c>
      <c r="L193">
        <v>356</v>
      </c>
      <c r="M193">
        <v>104</v>
      </c>
      <c r="N193">
        <v>104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104</v>
      </c>
      <c r="Z193">
        <v>0</v>
      </c>
      <c r="AA193">
        <v>0</v>
      </c>
      <c r="AB193">
        <v>104</v>
      </c>
      <c r="AC193">
        <v>9</v>
      </c>
      <c r="AD193">
        <v>95</v>
      </c>
      <c r="AE193">
        <v>5</v>
      </c>
      <c r="AF193">
        <v>0</v>
      </c>
      <c r="AG193">
        <v>1</v>
      </c>
      <c r="AH193">
        <v>0</v>
      </c>
      <c r="AI193">
        <v>0</v>
      </c>
      <c r="AJ193">
        <v>1</v>
      </c>
      <c r="AK193">
        <v>0</v>
      </c>
      <c r="AL193">
        <v>1</v>
      </c>
      <c r="AM193">
        <v>0</v>
      </c>
      <c r="AN193">
        <v>1</v>
      </c>
      <c r="AO193">
        <v>1</v>
      </c>
      <c r="AP193">
        <v>5</v>
      </c>
      <c r="AQ193">
        <v>15</v>
      </c>
      <c r="AR193">
        <v>2</v>
      </c>
      <c r="AS193">
        <v>2</v>
      </c>
      <c r="AT193">
        <v>0</v>
      </c>
      <c r="AU193">
        <v>0</v>
      </c>
      <c r="AV193">
        <v>1</v>
      </c>
      <c r="AW193">
        <v>1</v>
      </c>
      <c r="AX193">
        <v>0</v>
      </c>
      <c r="AY193">
        <v>0</v>
      </c>
      <c r="AZ193">
        <v>0</v>
      </c>
      <c r="BA193">
        <v>9</v>
      </c>
      <c r="BB193">
        <v>15</v>
      </c>
      <c r="BC193">
        <v>4</v>
      </c>
      <c r="BD193">
        <v>2</v>
      </c>
      <c r="BE193">
        <v>0</v>
      </c>
      <c r="BF193">
        <v>1</v>
      </c>
      <c r="BG193">
        <v>0</v>
      </c>
      <c r="BH193">
        <v>0</v>
      </c>
      <c r="BI193">
        <v>0</v>
      </c>
      <c r="BJ193">
        <v>0</v>
      </c>
      <c r="BK193">
        <v>1</v>
      </c>
      <c r="BL193">
        <v>0</v>
      </c>
      <c r="BM193">
        <v>0</v>
      </c>
      <c r="BN193">
        <v>4</v>
      </c>
      <c r="BO193">
        <v>9</v>
      </c>
      <c r="BP193">
        <v>2</v>
      </c>
      <c r="BQ193">
        <v>1</v>
      </c>
      <c r="BR193">
        <v>2</v>
      </c>
      <c r="BS193">
        <v>2</v>
      </c>
      <c r="BT193">
        <v>0</v>
      </c>
      <c r="BU193">
        <v>1</v>
      </c>
      <c r="BV193">
        <v>1</v>
      </c>
      <c r="BW193">
        <v>0</v>
      </c>
      <c r="BX193">
        <v>0</v>
      </c>
      <c r="BY193">
        <v>0</v>
      </c>
      <c r="BZ193">
        <v>9</v>
      </c>
      <c r="CA193">
        <v>22</v>
      </c>
      <c r="CB193">
        <v>15</v>
      </c>
      <c r="CC193">
        <v>0</v>
      </c>
      <c r="CD193">
        <v>0</v>
      </c>
      <c r="CE193">
        <v>2</v>
      </c>
      <c r="CF193">
        <v>3</v>
      </c>
      <c r="CG193">
        <v>0</v>
      </c>
      <c r="CH193">
        <v>0</v>
      </c>
      <c r="CI193">
        <v>0</v>
      </c>
      <c r="CJ193">
        <v>0</v>
      </c>
      <c r="CK193">
        <v>2</v>
      </c>
      <c r="CL193">
        <v>22</v>
      </c>
      <c r="CM193">
        <v>4</v>
      </c>
      <c r="CN193">
        <v>0</v>
      </c>
      <c r="CO193">
        <v>0</v>
      </c>
      <c r="CP193">
        <v>0</v>
      </c>
      <c r="CQ193">
        <v>1</v>
      </c>
      <c r="CR193">
        <v>1</v>
      </c>
      <c r="CS193">
        <v>0</v>
      </c>
      <c r="CT193">
        <v>1</v>
      </c>
      <c r="CU193">
        <v>0</v>
      </c>
      <c r="CV193">
        <v>1</v>
      </c>
      <c r="CW193">
        <v>0</v>
      </c>
      <c r="CX193">
        <v>4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33</v>
      </c>
      <c r="DL193">
        <v>12</v>
      </c>
      <c r="DM193">
        <v>8</v>
      </c>
      <c r="DN193">
        <v>3</v>
      </c>
      <c r="DO193">
        <v>2</v>
      </c>
      <c r="DP193">
        <v>3</v>
      </c>
      <c r="DQ193">
        <v>3</v>
      </c>
      <c r="DR193">
        <v>1</v>
      </c>
      <c r="DS193">
        <v>0</v>
      </c>
      <c r="DT193">
        <v>0</v>
      </c>
      <c r="DU193">
        <v>1</v>
      </c>
      <c r="DV193">
        <v>33</v>
      </c>
      <c r="DW193">
        <v>3</v>
      </c>
      <c r="DX193">
        <v>1</v>
      </c>
      <c r="DY193">
        <v>2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3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0</v>
      </c>
      <c r="ET193">
        <v>0</v>
      </c>
    </row>
    <row r="194" spans="1:150" ht="12.75">
      <c r="A194">
        <v>189</v>
      </c>
      <c r="B194" t="str">
        <f t="shared" si="35"/>
        <v>061901</v>
      </c>
      <c r="C194" t="str">
        <f t="shared" si="36"/>
        <v>m. Włodawa</v>
      </c>
      <c r="D194" t="str">
        <f t="shared" si="37"/>
        <v>włodawski</v>
      </c>
      <c r="E194" t="str">
        <f t="shared" si="27"/>
        <v>lubelskie</v>
      </c>
      <c r="F194">
        <v>7</v>
      </c>
      <c r="G194" t="str">
        <f>"Świetlica Szpitala we Włodawie, Aleja Józefa Piłsudskiego 64, 22-200 Włodawa"</f>
        <v>Świetlica Szpitala we Włodawie, Aleja Józefa Piłsudskiego 64, 22-200 Włodawa</v>
      </c>
      <c r="H194">
        <v>91</v>
      </c>
      <c r="I194">
        <v>91</v>
      </c>
      <c r="J194">
        <v>0</v>
      </c>
      <c r="K194">
        <v>160</v>
      </c>
      <c r="L194">
        <v>138</v>
      </c>
      <c r="M194">
        <v>22</v>
      </c>
      <c r="N194">
        <v>22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22</v>
      </c>
      <c r="Z194">
        <v>0</v>
      </c>
      <c r="AA194">
        <v>0</v>
      </c>
      <c r="AB194">
        <v>22</v>
      </c>
      <c r="AC194">
        <v>3</v>
      </c>
      <c r="AD194">
        <v>19</v>
      </c>
      <c r="AE194">
        <v>2</v>
      </c>
      <c r="AF194">
        <v>1</v>
      </c>
      <c r="AG194">
        <v>1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2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1</v>
      </c>
      <c r="BD194">
        <v>0</v>
      </c>
      <c r="BE194">
        <v>0</v>
      </c>
      <c r="BF194">
        <v>1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1</v>
      </c>
      <c r="BO194">
        <v>11</v>
      </c>
      <c r="BP194">
        <v>0</v>
      </c>
      <c r="BQ194">
        <v>8</v>
      </c>
      <c r="BR194">
        <v>0</v>
      </c>
      <c r="BS194">
        <v>1</v>
      </c>
      <c r="BT194">
        <v>0</v>
      </c>
      <c r="BU194">
        <v>0</v>
      </c>
      <c r="BV194">
        <v>0</v>
      </c>
      <c r="BW194">
        <v>2</v>
      </c>
      <c r="BX194">
        <v>0</v>
      </c>
      <c r="BY194">
        <v>0</v>
      </c>
      <c r="BZ194">
        <v>11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4</v>
      </c>
      <c r="DL194">
        <v>1</v>
      </c>
      <c r="DM194">
        <v>0</v>
      </c>
      <c r="DN194">
        <v>0</v>
      </c>
      <c r="DO194">
        <v>0</v>
      </c>
      <c r="DP194">
        <v>3</v>
      </c>
      <c r="DQ194">
        <v>0</v>
      </c>
      <c r="DR194">
        <v>0</v>
      </c>
      <c r="DS194">
        <v>0</v>
      </c>
      <c r="DT194">
        <v>0</v>
      </c>
      <c r="DU194">
        <v>0</v>
      </c>
      <c r="DV194">
        <v>4</v>
      </c>
      <c r="DW194">
        <v>1</v>
      </c>
      <c r="DX194">
        <v>0</v>
      </c>
      <c r="DY194">
        <v>0</v>
      </c>
      <c r="DZ194">
        <v>0</v>
      </c>
      <c r="EA194">
        <v>1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0</v>
      </c>
      <c r="EH194">
        <v>1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0</v>
      </c>
      <c r="ER194">
        <v>0</v>
      </c>
      <c r="ES194">
        <v>0</v>
      </c>
      <c r="ET194">
        <v>0</v>
      </c>
    </row>
    <row r="195" spans="1:150" ht="12.75">
      <c r="A195">
        <v>190</v>
      </c>
      <c r="B195" t="str">
        <f>"061902"</f>
        <v>061902</v>
      </c>
      <c r="C195" t="str">
        <f>"Hanna"</f>
        <v>Hanna</v>
      </c>
      <c r="D195" t="str">
        <f t="shared" si="37"/>
        <v>włodawski</v>
      </c>
      <c r="E195" t="str">
        <f t="shared" si="27"/>
        <v>lubelskie</v>
      </c>
      <c r="F195">
        <v>1</v>
      </c>
      <c r="G195" t="str">
        <f>"Gminny Ośrodek Kultury i Sportu w Hannie, Hanna 42, 22-220 Hanna"</f>
        <v>Gminny Ośrodek Kultury i Sportu w Hannie, Hanna 42, 22-220 Hanna</v>
      </c>
      <c r="H195">
        <v>919</v>
      </c>
      <c r="I195">
        <v>919</v>
      </c>
      <c r="J195">
        <v>0</v>
      </c>
      <c r="K195">
        <v>650</v>
      </c>
      <c r="L195">
        <v>464</v>
      </c>
      <c r="M195">
        <v>186</v>
      </c>
      <c r="N195">
        <v>186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186</v>
      </c>
      <c r="Z195">
        <v>0</v>
      </c>
      <c r="AA195">
        <v>0</v>
      </c>
      <c r="AB195">
        <v>186</v>
      </c>
      <c r="AC195">
        <v>12</v>
      </c>
      <c r="AD195">
        <v>174</v>
      </c>
      <c r="AE195">
        <v>8</v>
      </c>
      <c r="AF195">
        <v>5</v>
      </c>
      <c r="AG195">
        <v>1</v>
      </c>
      <c r="AH195">
        <v>0</v>
      </c>
      <c r="AI195">
        <v>0</v>
      </c>
      <c r="AJ195">
        <v>0</v>
      </c>
      <c r="AK195">
        <v>1</v>
      </c>
      <c r="AL195">
        <v>0</v>
      </c>
      <c r="AM195">
        <v>1</v>
      </c>
      <c r="AN195">
        <v>0</v>
      </c>
      <c r="AO195">
        <v>0</v>
      </c>
      <c r="AP195">
        <v>8</v>
      </c>
      <c r="AQ195">
        <v>10</v>
      </c>
      <c r="AR195">
        <v>9</v>
      </c>
      <c r="AS195">
        <v>1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10</v>
      </c>
      <c r="BC195">
        <v>15</v>
      </c>
      <c r="BD195">
        <v>6</v>
      </c>
      <c r="BE195">
        <v>0</v>
      </c>
      <c r="BF195">
        <v>1</v>
      </c>
      <c r="BG195">
        <v>1</v>
      </c>
      <c r="BH195">
        <v>2</v>
      </c>
      <c r="BI195">
        <v>0</v>
      </c>
      <c r="BJ195">
        <v>1</v>
      </c>
      <c r="BK195">
        <v>0</v>
      </c>
      <c r="BL195">
        <v>4</v>
      </c>
      <c r="BM195">
        <v>0</v>
      </c>
      <c r="BN195">
        <v>15</v>
      </c>
      <c r="BO195">
        <v>62</v>
      </c>
      <c r="BP195">
        <v>8</v>
      </c>
      <c r="BQ195">
        <v>28</v>
      </c>
      <c r="BR195">
        <v>2</v>
      </c>
      <c r="BS195">
        <v>16</v>
      </c>
      <c r="BT195">
        <v>2</v>
      </c>
      <c r="BU195">
        <v>0</v>
      </c>
      <c r="BV195">
        <v>2</v>
      </c>
      <c r="BW195">
        <v>3</v>
      </c>
      <c r="BX195">
        <v>1</v>
      </c>
      <c r="BY195">
        <v>0</v>
      </c>
      <c r="BZ195">
        <v>62</v>
      </c>
      <c r="CA195">
        <v>5</v>
      </c>
      <c r="CB195">
        <v>1</v>
      </c>
      <c r="CC195">
        <v>2</v>
      </c>
      <c r="CD195">
        <v>0</v>
      </c>
      <c r="CE195">
        <v>0</v>
      </c>
      <c r="CF195">
        <v>1</v>
      </c>
      <c r="CG195">
        <v>0</v>
      </c>
      <c r="CH195">
        <v>1</v>
      </c>
      <c r="CI195">
        <v>0</v>
      </c>
      <c r="CJ195">
        <v>0</v>
      </c>
      <c r="CK195">
        <v>0</v>
      </c>
      <c r="CL195">
        <v>5</v>
      </c>
      <c r="CM195">
        <v>6</v>
      </c>
      <c r="CN195">
        <v>5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1</v>
      </c>
      <c r="CX195">
        <v>6</v>
      </c>
      <c r="CY195">
        <v>15</v>
      </c>
      <c r="CZ195">
        <v>6</v>
      </c>
      <c r="DA195">
        <v>1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1</v>
      </c>
      <c r="DH195">
        <v>0</v>
      </c>
      <c r="DI195">
        <v>7</v>
      </c>
      <c r="DJ195">
        <v>15</v>
      </c>
      <c r="DK195">
        <v>19</v>
      </c>
      <c r="DL195">
        <v>5</v>
      </c>
      <c r="DM195">
        <v>2</v>
      </c>
      <c r="DN195">
        <v>0</v>
      </c>
      <c r="DO195">
        <v>0</v>
      </c>
      <c r="DP195">
        <v>12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19</v>
      </c>
      <c r="DW195">
        <v>34</v>
      </c>
      <c r="DX195">
        <v>3</v>
      </c>
      <c r="DY195">
        <v>13</v>
      </c>
      <c r="DZ195">
        <v>3</v>
      </c>
      <c r="EA195">
        <v>7</v>
      </c>
      <c r="EB195">
        <v>2</v>
      </c>
      <c r="EC195">
        <v>0</v>
      </c>
      <c r="ED195">
        <v>4</v>
      </c>
      <c r="EE195">
        <v>1</v>
      </c>
      <c r="EF195">
        <v>0</v>
      </c>
      <c r="EG195">
        <v>1</v>
      </c>
      <c r="EH195">
        <v>34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0</v>
      </c>
      <c r="ER195">
        <v>0</v>
      </c>
      <c r="ES195">
        <v>0</v>
      </c>
      <c r="ET195">
        <v>0</v>
      </c>
    </row>
    <row r="196" spans="1:150" ht="12.75">
      <c r="A196">
        <v>191</v>
      </c>
      <c r="B196" t="str">
        <f>"061902"</f>
        <v>061902</v>
      </c>
      <c r="C196" t="str">
        <f>"Hanna"</f>
        <v>Hanna</v>
      </c>
      <c r="D196" t="str">
        <f t="shared" si="37"/>
        <v>włodawski</v>
      </c>
      <c r="E196" t="str">
        <f t="shared" si="27"/>
        <v>lubelskie</v>
      </c>
      <c r="F196">
        <v>2</v>
      </c>
      <c r="G196" t="str">
        <f>"Wiejski Dom Kultury w Dołhobrodach, Dołhobrody 85B, 22-220 Hanna"</f>
        <v>Wiejski Dom Kultury w Dołhobrodach, Dołhobrody 85B, 22-220 Hanna</v>
      </c>
      <c r="H196">
        <v>560</v>
      </c>
      <c r="I196">
        <v>560</v>
      </c>
      <c r="J196">
        <v>0</v>
      </c>
      <c r="K196">
        <v>400</v>
      </c>
      <c r="L196">
        <v>286</v>
      </c>
      <c r="M196">
        <v>114</v>
      </c>
      <c r="N196">
        <v>114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114</v>
      </c>
      <c r="Z196">
        <v>0</v>
      </c>
      <c r="AA196">
        <v>0</v>
      </c>
      <c r="AB196">
        <v>114</v>
      </c>
      <c r="AC196">
        <v>5</v>
      </c>
      <c r="AD196">
        <v>109</v>
      </c>
      <c r="AE196">
        <v>3</v>
      </c>
      <c r="AF196">
        <v>1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1</v>
      </c>
      <c r="AM196">
        <v>0</v>
      </c>
      <c r="AN196">
        <v>0</v>
      </c>
      <c r="AO196">
        <v>1</v>
      </c>
      <c r="AP196">
        <v>3</v>
      </c>
      <c r="AQ196">
        <v>8</v>
      </c>
      <c r="AR196">
        <v>7</v>
      </c>
      <c r="AS196">
        <v>0</v>
      </c>
      <c r="AT196">
        <v>1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8</v>
      </c>
      <c r="BC196">
        <v>10</v>
      </c>
      <c r="BD196">
        <v>1</v>
      </c>
      <c r="BE196">
        <v>2</v>
      </c>
      <c r="BF196">
        <v>0</v>
      </c>
      <c r="BG196">
        <v>0</v>
      </c>
      <c r="BH196">
        <v>1</v>
      </c>
      <c r="BI196">
        <v>1</v>
      </c>
      <c r="BJ196">
        <v>0</v>
      </c>
      <c r="BK196">
        <v>1</v>
      </c>
      <c r="BL196">
        <v>4</v>
      </c>
      <c r="BM196">
        <v>0</v>
      </c>
      <c r="BN196">
        <v>10</v>
      </c>
      <c r="BO196">
        <v>52</v>
      </c>
      <c r="BP196">
        <v>5</v>
      </c>
      <c r="BQ196">
        <v>25</v>
      </c>
      <c r="BR196">
        <v>1</v>
      </c>
      <c r="BS196">
        <v>17</v>
      </c>
      <c r="BT196">
        <v>0</v>
      </c>
      <c r="BU196">
        <v>0</v>
      </c>
      <c r="BV196">
        <v>0</v>
      </c>
      <c r="BW196">
        <v>3</v>
      </c>
      <c r="BX196">
        <v>0</v>
      </c>
      <c r="BY196">
        <v>1</v>
      </c>
      <c r="BZ196">
        <v>52</v>
      </c>
      <c r="CA196">
        <v>1</v>
      </c>
      <c r="CB196">
        <v>1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1</v>
      </c>
      <c r="CM196">
        <v>2</v>
      </c>
      <c r="CN196">
        <v>0</v>
      </c>
      <c r="CO196">
        <v>1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1</v>
      </c>
      <c r="CX196">
        <v>2</v>
      </c>
      <c r="CY196">
        <v>6</v>
      </c>
      <c r="CZ196">
        <v>2</v>
      </c>
      <c r="DA196">
        <v>1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3</v>
      </c>
      <c r="DJ196">
        <v>6</v>
      </c>
      <c r="DK196">
        <v>8</v>
      </c>
      <c r="DL196">
        <v>5</v>
      </c>
      <c r="DM196">
        <v>2</v>
      </c>
      <c r="DN196">
        <v>0</v>
      </c>
      <c r="DO196">
        <v>0</v>
      </c>
      <c r="DP196">
        <v>1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8</v>
      </c>
      <c r="DW196">
        <v>18</v>
      </c>
      <c r="DX196">
        <v>2</v>
      </c>
      <c r="DY196">
        <v>3</v>
      </c>
      <c r="DZ196">
        <v>3</v>
      </c>
      <c r="EA196">
        <v>5</v>
      </c>
      <c r="EB196">
        <v>0</v>
      </c>
      <c r="EC196">
        <v>0</v>
      </c>
      <c r="ED196">
        <v>5</v>
      </c>
      <c r="EE196">
        <v>0</v>
      </c>
      <c r="EF196">
        <v>0</v>
      </c>
      <c r="EG196">
        <v>0</v>
      </c>
      <c r="EH196">
        <v>18</v>
      </c>
      <c r="EI196">
        <v>1</v>
      </c>
      <c r="EJ196">
        <v>1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0</v>
      </c>
      <c r="ES196">
        <v>0</v>
      </c>
      <c r="ET196">
        <v>1</v>
      </c>
    </row>
    <row r="197" spans="1:150" ht="12.75">
      <c r="A197">
        <v>192</v>
      </c>
      <c r="B197" t="str">
        <f>"061902"</f>
        <v>061902</v>
      </c>
      <c r="C197" t="str">
        <f>"Hanna"</f>
        <v>Hanna</v>
      </c>
      <c r="D197" t="str">
        <f t="shared" si="37"/>
        <v>włodawski</v>
      </c>
      <c r="E197" t="str">
        <f t="shared" si="27"/>
        <v>lubelskie</v>
      </c>
      <c r="F197">
        <v>3</v>
      </c>
      <c r="G197" t="str">
        <f>"Szkoła Podstawowa w Dańcach, Dańce 100, 22-220 Hanna"</f>
        <v>Szkoła Podstawowa w Dańcach, Dańce 100, 22-220 Hanna</v>
      </c>
      <c r="H197">
        <v>659</v>
      </c>
      <c r="I197">
        <v>659</v>
      </c>
      <c r="J197">
        <v>0</v>
      </c>
      <c r="K197">
        <v>460</v>
      </c>
      <c r="L197">
        <v>364</v>
      </c>
      <c r="M197">
        <v>96</v>
      </c>
      <c r="N197">
        <v>96</v>
      </c>
      <c r="O197">
        <v>0</v>
      </c>
      <c r="P197">
        <v>0</v>
      </c>
      <c r="Q197">
        <v>2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96</v>
      </c>
      <c r="Z197">
        <v>0</v>
      </c>
      <c r="AA197">
        <v>0</v>
      </c>
      <c r="AB197">
        <v>96</v>
      </c>
      <c r="AC197">
        <v>9</v>
      </c>
      <c r="AD197">
        <v>87</v>
      </c>
      <c r="AE197">
        <v>1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1</v>
      </c>
      <c r="AM197">
        <v>0</v>
      </c>
      <c r="AN197">
        <v>0</v>
      </c>
      <c r="AO197">
        <v>0</v>
      </c>
      <c r="AP197">
        <v>1</v>
      </c>
      <c r="AQ197">
        <v>6</v>
      </c>
      <c r="AR197">
        <v>4</v>
      </c>
      <c r="AS197">
        <v>0</v>
      </c>
      <c r="AT197">
        <v>0</v>
      </c>
      <c r="AU197">
        <v>2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6</v>
      </c>
      <c r="BC197">
        <v>7</v>
      </c>
      <c r="BD197">
        <v>2</v>
      </c>
      <c r="BE197">
        <v>1</v>
      </c>
      <c r="BF197">
        <v>1</v>
      </c>
      <c r="BG197">
        <v>1</v>
      </c>
      <c r="BH197">
        <v>0</v>
      </c>
      <c r="BI197">
        <v>0</v>
      </c>
      <c r="BJ197">
        <v>0</v>
      </c>
      <c r="BK197">
        <v>0</v>
      </c>
      <c r="BL197">
        <v>1</v>
      </c>
      <c r="BM197">
        <v>1</v>
      </c>
      <c r="BN197">
        <v>7</v>
      </c>
      <c r="BO197">
        <v>26</v>
      </c>
      <c r="BP197">
        <v>5</v>
      </c>
      <c r="BQ197">
        <v>10</v>
      </c>
      <c r="BR197">
        <v>2</v>
      </c>
      <c r="BS197">
        <v>4</v>
      </c>
      <c r="BT197">
        <v>3</v>
      </c>
      <c r="BU197">
        <v>0</v>
      </c>
      <c r="BV197">
        <v>0</v>
      </c>
      <c r="BW197">
        <v>1</v>
      </c>
      <c r="BX197">
        <v>0</v>
      </c>
      <c r="BY197">
        <v>1</v>
      </c>
      <c r="BZ197">
        <v>26</v>
      </c>
      <c r="CA197">
        <v>3</v>
      </c>
      <c r="CB197">
        <v>2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1</v>
      </c>
      <c r="CL197">
        <v>3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5</v>
      </c>
      <c r="CZ197">
        <v>4</v>
      </c>
      <c r="DA197">
        <v>0</v>
      </c>
      <c r="DB197">
        <v>1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5</v>
      </c>
      <c r="DK197">
        <v>11</v>
      </c>
      <c r="DL197">
        <v>1</v>
      </c>
      <c r="DM197">
        <v>0</v>
      </c>
      <c r="DN197">
        <v>0</v>
      </c>
      <c r="DO197">
        <v>0</v>
      </c>
      <c r="DP197">
        <v>10</v>
      </c>
      <c r="DQ197">
        <v>0</v>
      </c>
      <c r="DR197">
        <v>0</v>
      </c>
      <c r="DS197">
        <v>0</v>
      </c>
      <c r="DT197">
        <v>0</v>
      </c>
      <c r="DU197">
        <v>0</v>
      </c>
      <c r="DV197">
        <v>11</v>
      </c>
      <c r="DW197">
        <v>28</v>
      </c>
      <c r="DX197">
        <v>1</v>
      </c>
      <c r="DY197">
        <v>7</v>
      </c>
      <c r="DZ197">
        <v>1</v>
      </c>
      <c r="EA197">
        <v>11</v>
      </c>
      <c r="EB197">
        <v>3</v>
      </c>
      <c r="EC197">
        <v>0</v>
      </c>
      <c r="ED197">
        <v>4</v>
      </c>
      <c r="EE197">
        <v>0</v>
      </c>
      <c r="EF197">
        <v>1</v>
      </c>
      <c r="EG197">
        <v>0</v>
      </c>
      <c r="EH197">
        <v>28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0</v>
      </c>
      <c r="ES197">
        <v>0</v>
      </c>
      <c r="ET197">
        <v>0</v>
      </c>
    </row>
    <row r="198" spans="1:150" ht="12.75">
      <c r="A198">
        <v>193</v>
      </c>
      <c r="B198" t="str">
        <f>"061902"</f>
        <v>061902</v>
      </c>
      <c r="C198" t="str">
        <f>"Hanna"</f>
        <v>Hanna</v>
      </c>
      <c r="D198" t="str">
        <f t="shared" si="37"/>
        <v>włodawski</v>
      </c>
      <c r="E198" t="str">
        <f aca="true" t="shared" si="38" ref="E198:E261">"lubelskie"</f>
        <v>lubelskie</v>
      </c>
      <c r="F198">
        <v>4</v>
      </c>
      <c r="G198" t="str">
        <f>"Szkoła Podstawowa w Zaświatyczach, Zaświatycze 46, 22-220 Hanna"</f>
        <v>Szkoła Podstawowa w Zaświatyczach, Zaświatycze 46, 22-220 Hanna</v>
      </c>
      <c r="H198">
        <v>490</v>
      </c>
      <c r="I198">
        <v>490</v>
      </c>
      <c r="J198">
        <v>0</v>
      </c>
      <c r="K198">
        <v>350</v>
      </c>
      <c r="L198">
        <v>267</v>
      </c>
      <c r="M198">
        <v>83</v>
      </c>
      <c r="N198">
        <v>83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83</v>
      </c>
      <c r="Z198">
        <v>0</v>
      </c>
      <c r="AA198">
        <v>0</v>
      </c>
      <c r="AB198">
        <v>83</v>
      </c>
      <c r="AC198">
        <v>2</v>
      </c>
      <c r="AD198">
        <v>81</v>
      </c>
      <c r="AE198">
        <v>4</v>
      </c>
      <c r="AF198">
        <v>1</v>
      </c>
      <c r="AG198">
        <v>0</v>
      </c>
      <c r="AH198">
        <v>0</v>
      </c>
      <c r="AI198">
        <v>0</v>
      </c>
      <c r="AJ198">
        <v>0</v>
      </c>
      <c r="AK198">
        <v>3</v>
      </c>
      <c r="AL198">
        <v>0</v>
      </c>
      <c r="AM198">
        <v>0</v>
      </c>
      <c r="AN198">
        <v>0</v>
      </c>
      <c r="AO198">
        <v>0</v>
      </c>
      <c r="AP198">
        <v>4</v>
      </c>
      <c r="AQ198">
        <v>1</v>
      </c>
      <c r="AR198">
        <v>0</v>
      </c>
      <c r="AS198">
        <v>0</v>
      </c>
      <c r="AT198">
        <v>0</v>
      </c>
      <c r="AU198">
        <v>0</v>
      </c>
      <c r="AV198">
        <v>1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1</v>
      </c>
      <c r="BC198">
        <v>4</v>
      </c>
      <c r="BD198">
        <v>0</v>
      </c>
      <c r="BE198">
        <v>0</v>
      </c>
      <c r="BF198">
        <v>0</v>
      </c>
      <c r="BG198">
        <v>0</v>
      </c>
      <c r="BH198">
        <v>2</v>
      </c>
      <c r="BI198">
        <v>0</v>
      </c>
      <c r="BJ198">
        <v>0</v>
      </c>
      <c r="BK198">
        <v>0</v>
      </c>
      <c r="BL198">
        <v>2</v>
      </c>
      <c r="BM198">
        <v>0</v>
      </c>
      <c r="BN198">
        <v>4</v>
      </c>
      <c r="BO198">
        <v>24</v>
      </c>
      <c r="BP198">
        <v>9</v>
      </c>
      <c r="BQ198">
        <v>8</v>
      </c>
      <c r="BR198">
        <v>3</v>
      </c>
      <c r="BS198">
        <v>3</v>
      </c>
      <c r="BT198">
        <v>0</v>
      </c>
      <c r="BU198">
        <v>0</v>
      </c>
      <c r="BV198">
        <v>1</v>
      </c>
      <c r="BW198">
        <v>0</v>
      </c>
      <c r="BX198">
        <v>0</v>
      </c>
      <c r="BY198">
        <v>0</v>
      </c>
      <c r="BZ198">
        <v>24</v>
      </c>
      <c r="CA198">
        <v>1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1</v>
      </c>
      <c r="CJ198">
        <v>0</v>
      </c>
      <c r="CK198">
        <v>0</v>
      </c>
      <c r="CL198">
        <v>1</v>
      </c>
      <c r="CM198">
        <v>4</v>
      </c>
      <c r="CN198">
        <v>3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1</v>
      </c>
      <c r="CU198">
        <v>0</v>
      </c>
      <c r="CV198">
        <v>0</v>
      </c>
      <c r="CW198">
        <v>0</v>
      </c>
      <c r="CX198">
        <v>4</v>
      </c>
      <c r="CY198">
        <v>2</v>
      </c>
      <c r="CZ198">
        <v>1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1</v>
      </c>
      <c r="DI198">
        <v>0</v>
      </c>
      <c r="DJ198">
        <v>2</v>
      </c>
      <c r="DK198">
        <v>7</v>
      </c>
      <c r="DL198">
        <v>1</v>
      </c>
      <c r="DM198">
        <v>2</v>
      </c>
      <c r="DN198">
        <v>0</v>
      </c>
      <c r="DO198">
        <v>0</v>
      </c>
      <c r="DP198">
        <v>3</v>
      </c>
      <c r="DQ198">
        <v>0</v>
      </c>
      <c r="DR198">
        <v>0</v>
      </c>
      <c r="DS198">
        <v>1</v>
      </c>
      <c r="DT198">
        <v>0</v>
      </c>
      <c r="DU198">
        <v>0</v>
      </c>
      <c r="DV198">
        <v>7</v>
      </c>
      <c r="DW198">
        <v>34</v>
      </c>
      <c r="DX198">
        <v>5</v>
      </c>
      <c r="DY198">
        <v>10</v>
      </c>
      <c r="DZ198">
        <v>2</v>
      </c>
      <c r="EA198">
        <v>11</v>
      </c>
      <c r="EB198">
        <v>1</v>
      </c>
      <c r="EC198">
        <v>0</v>
      </c>
      <c r="ED198">
        <v>4</v>
      </c>
      <c r="EE198">
        <v>0</v>
      </c>
      <c r="EF198">
        <v>0</v>
      </c>
      <c r="EG198">
        <v>1</v>
      </c>
      <c r="EH198">
        <v>34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0</v>
      </c>
      <c r="ET198">
        <v>0</v>
      </c>
    </row>
    <row r="199" spans="1:150" ht="12.75">
      <c r="A199">
        <v>194</v>
      </c>
      <c r="B199" t="str">
        <f>"061903"</f>
        <v>061903</v>
      </c>
      <c r="C199" t="str">
        <f>"Hańsk"</f>
        <v>Hańsk</v>
      </c>
      <c r="D199" t="str">
        <f t="shared" si="37"/>
        <v>włodawski</v>
      </c>
      <c r="E199" t="str">
        <f t="shared" si="38"/>
        <v>lubelskie</v>
      </c>
      <c r="F199">
        <v>1</v>
      </c>
      <c r="G199" t="str">
        <f>"Dom Kultury w Dubecznie, Szkolna 5, Dubeczno, 22-235 Hańsk Pierwszy"</f>
        <v>Dom Kultury w Dubecznie, Szkolna 5, Dubeczno, 22-235 Hańsk Pierwszy</v>
      </c>
      <c r="H199">
        <v>850</v>
      </c>
      <c r="I199">
        <v>850</v>
      </c>
      <c r="J199">
        <v>0</v>
      </c>
      <c r="K199">
        <v>601</v>
      </c>
      <c r="L199">
        <v>513</v>
      </c>
      <c r="M199">
        <v>88</v>
      </c>
      <c r="N199">
        <v>88</v>
      </c>
      <c r="O199">
        <v>0</v>
      </c>
      <c r="P199">
        <v>0</v>
      </c>
      <c r="Q199">
        <v>2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88</v>
      </c>
      <c r="Z199">
        <v>0</v>
      </c>
      <c r="AA199">
        <v>0</v>
      </c>
      <c r="AB199">
        <v>88</v>
      </c>
      <c r="AC199">
        <v>9</v>
      </c>
      <c r="AD199">
        <v>79</v>
      </c>
      <c r="AE199">
        <v>5</v>
      </c>
      <c r="AF199">
        <v>5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5</v>
      </c>
      <c r="AQ199">
        <v>2</v>
      </c>
      <c r="AR199">
        <v>1</v>
      </c>
      <c r="AS199">
        <v>1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2</v>
      </c>
      <c r="BC199">
        <v>5</v>
      </c>
      <c r="BD199">
        <v>1</v>
      </c>
      <c r="BE199">
        <v>0</v>
      </c>
      <c r="BF199">
        <v>0</v>
      </c>
      <c r="BG199">
        <v>0</v>
      </c>
      <c r="BH199">
        <v>1</v>
      </c>
      <c r="BI199">
        <v>0</v>
      </c>
      <c r="BJ199">
        <v>0</v>
      </c>
      <c r="BK199">
        <v>0</v>
      </c>
      <c r="BL199">
        <v>3</v>
      </c>
      <c r="BM199">
        <v>0</v>
      </c>
      <c r="BN199">
        <v>5</v>
      </c>
      <c r="BO199">
        <v>23</v>
      </c>
      <c r="BP199">
        <v>5</v>
      </c>
      <c r="BQ199">
        <v>11</v>
      </c>
      <c r="BR199">
        <v>2</v>
      </c>
      <c r="BS199">
        <v>4</v>
      </c>
      <c r="BT199">
        <v>1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23</v>
      </c>
      <c r="CA199">
        <v>5</v>
      </c>
      <c r="CB199">
        <v>0</v>
      </c>
      <c r="CC199">
        <v>1</v>
      </c>
      <c r="CD199">
        <v>0</v>
      </c>
      <c r="CE199">
        <v>0</v>
      </c>
      <c r="CF199">
        <v>2</v>
      </c>
      <c r="CG199">
        <v>0</v>
      </c>
      <c r="CH199">
        <v>0</v>
      </c>
      <c r="CI199">
        <v>0</v>
      </c>
      <c r="CJ199">
        <v>0</v>
      </c>
      <c r="CK199">
        <v>2</v>
      </c>
      <c r="CL199">
        <v>5</v>
      </c>
      <c r="CM199">
        <v>1</v>
      </c>
      <c r="CN199">
        <v>0</v>
      </c>
      <c r="CO199">
        <v>0</v>
      </c>
      <c r="CP199">
        <v>0</v>
      </c>
      <c r="CQ199">
        <v>1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1</v>
      </c>
      <c r="CY199">
        <v>9</v>
      </c>
      <c r="CZ199">
        <v>3</v>
      </c>
      <c r="DA199">
        <v>2</v>
      </c>
      <c r="DB199">
        <v>1</v>
      </c>
      <c r="DC199">
        <v>0</v>
      </c>
      <c r="DD199">
        <v>0</v>
      </c>
      <c r="DE199">
        <v>1</v>
      </c>
      <c r="DF199">
        <v>0</v>
      </c>
      <c r="DG199">
        <v>0</v>
      </c>
      <c r="DH199">
        <v>0</v>
      </c>
      <c r="DI199">
        <v>2</v>
      </c>
      <c r="DJ199">
        <v>9</v>
      </c>
      <c r="DK199">
        <v>13</v>
      </c>
      <c r="DL199">
        <v>5</v>
      </c>
      <c r="DM199">
        <v>3</v>
      </c>
      <c r="DN199">
        <v>0</v>
      </c>
      <c r="DO199">
        <v>0</v>
      </c>
      <c r="DP199">
        <v>5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13</v>
      </c>
      <c r="DW199">
        <v>16</v>
      </c>
      <c r="DX199">
        <v>2</v>
      </c>
      <c r="DY199">
        <v>1</v>
      </c>
      <c r="DZ199">
        <v>1</v>
      </c>
      <c r="EA199">
        <v>11</v>
      </c>
      <c r="EB199">
        <v>0</v>
      </c>
      <c r="EC199">
        <v>1</v>
      </c>
      <c r="ED199">
        <v>0</v>
      </c>
      <c r="EE199">
        <v>0</v>
      </c>
      <c r="EF199">
        <v>0</v>
      </c>
      <c r="EG199">
        <v>0</v>
      </c>
      <c r="EH199">
        <v>16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0</v>
      </c>
      <c r="ES199">
        <v>0</v>
      </c>
      <c r="ET199">
        <v>0</v>
      </c>
    </row>
    <row r="200" spans="1:150" ht="12.75">
      <c r="A200">
        <v>195</v>
      </c>
      <c r="B200" t="str">
        <f>"061903"</f>
        <v>061903</v>
      </c>
      <c r="C200" t="str">
        <f>"Hańsk"</f>
        <v>Hańsk</v>
      </c>
      <c r="D200" t="str">
        <f t="shared" si="37"/>
        <v>włodawski</v>
      </c>
      <c r="E200" t="str">
        <f t="shared" si="38"/>
        <v>lubelskie</v>
      </c>
      <c r="F200">
        <v>2</v>
      </c>
      <c r="G200" t="str">
        <f>"Świetlica OSP w Osowie, Osowa 55, 22-235 Hańsk Pierwszy"</f>
        <v>Świetlica OSP w Osowie, Osowa 55, 22-235 Hańsk Pierwszy</v>
      </c>
      <c r="H200">
        <v>324</v>
      </c>
      <c r="I200">
        <v>324</v>
      </c>
      <c r="J200">
        <v>0</v>
      </c>
      <c r="K200">
        <v>230</v>
      </c>
      <c r="L200">
        <v>163</v>
      </c>
      <c r="M200">
        <v>67</v>
      </c>
      <c r="N200">
        <v>67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67</v>
      </c>
      <c r="Z200">
        <v>0</v>
      </c>
      <c r="AA200">
        <v>0</v>
      </c>
      <c r="AB200">
        <v>67</v>
      </c>
      <c r="AC200">
        <v>2</v>
      </c>
      <c r="AD200">
        <v>65</v>
      </c>
      <c r="AE200">
        <v>2</v>
      </c>
      <c r="AF200">
        <v>1</v>
      </c>
      <c r="AG200">
        <v>0</v>
      </c>
      <c r="AH200">
        <v>0</v>
      </c>
      <c r="AI200">
        <v>0</v>
      </c>
      <c r="AJ200">
        <v>0</v>
      </c>
      <c r="AK200">
        <v>1</v>
      </c>
      <c r="AL200">
        <v>0</v>
      </c>
      <c r="AM200">
        <v>0</v>
      </c>
      <c r="AN200">
        <v>0</v>
      </c>
      <c r="AO200">
        <v>0</v>
      </c>
      <c r="AP200">
        <v>2</v>
      </c>
      <c r="AQ200">
        <v>1</v>
      </c>
      <c r="AR200">
        <v>0</v>
      </c>
      <c r="AS200">
        <v>1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1</v>
      </c>
      <c r="BC200">
        <v>8</v>
      </c>
      <c r="BD200">
        <v>2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1</v>
      </c>
      <c r="BK200">
        <v>0</v>
      </c>
      <c r="BL200">
        <v>5</v>
      </c>
      <c r="BM200">
        <v>0</v>
      </c>
      <c r="BN200">
        <v>8</v>
      </c>
      <c r="BO200">
        <v>24</v>
      </c>
      <c r="BP200">
        <v>4</v>
      </c>
      <c r="BQ200">
        <v>6</v>
      </c>
      <c r="BR200">
        <v>0</v>
      </c>
      <c r="BS200">
        <v>10</v>
      </c>
      <c r="BT200">
        <v>0</v>
      </c>
      <c r="BU200">
        <v>0</v>
      </c>
      <c r="BV200">
        <v>0</v>
      </c>
      <c r="BW200">
        <v>1</v>
      </c>
      <c r="BX200">
        <v>0</v>
      </c>
      <c r="BY200">
        <v>3</v>
      </c>
      <c r="BZ200">
        <v>24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1</v>
      </c>
      <c r="CZ200">
        <v>1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1</v>
      </c>
      <c r="DK200">
        <v>10</v>
      </c>
      <c r="DL200">
        <v>1</v>
      </c>
      <c r="DM200">
        <v>1</v>
      </c>
      <c r="DN200">
        <v>0</v>
      </c>
      <c r="DO200">
        <v>0</v>
      </c>
      <c r="DP200">
        <v>8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10</v>
      </c>
      <c r="DW200">
        <v>18</v>
      </c>
      <c r="DX200">
        <v>0</v>
      </c>
      <c r="DY200">
        <v>0</v>
      </c>
      <c r="DZ200">
        <v>0</v>
      </c>
      <c r="EA200">
        <v>14</v>
      </c>
      <c r="EB200">
        <v>0</v>
      </c>
      <c r="EC200">
        <v>1</v>
      </c>
      <c r="ED200">
        <v>1</v>
      </c>
      <c r="EE200">
        <v>1</v>
      </c>
      <c r="EF200">
        <v>0</v>
      </c>
      <c r="EG200">
        <v>1</v>
      </c>
      <c r="EH200">
        <v>18</v>
      </c>
      <c r="EI200">
        <v>1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0</v>
      </c>
      <c r="ES200">
        <v>1</v>
      </c>
      <c r="ET200">
        <v>1</v>
      </c>
    </row>
    <row r="201" spans="1:150" ht="12.75">
      <c r="A201">
        <v>196</v>
      </c>
      <c r="B201" t="str">
        <f>"061903"</f>
        <v>061903</v>
      </c>
      <c r="C201" t="str">
        <f>"Hańsk"</f>
        <v>Hańsk</v>
      </c>
      <c r="D201" t="str">
        <f t="shared" si="37"/>
        <v>włodawski</v>
      </c>
      <c r="E201" t="str">
        <f t="shared" si="38"/>
        <v>lubelskie</v>
      </c>
      <c r="F201">
        <v>3</v>
      </c>
      <c r="G201" t="str">
        <f>"Gminny Ośrodek Kultury w Hańsku, Osiedlowa 6, 22-235 Hańsk Pierwszy"</f>
        <v>Gminny Ośrodek Kultury w Hańsku, Osiedlowa 6, 22-235 Hańsk Pierwszy</v>
      </c>
      <c r="H201">
        <v>1513</v>
      </c>
      <c r="I201">
        <v>1513</v>
      </c>
      <c r="J201">
        <v>0</v>
      </c>
      <c r="K201">
        <v>1070</v>
      </c>
      <c r="L201">
        <v>751</v>
      </c>
      <c r="M201">
        <v>319</v>
      </c>
      <c r="N201">
        <v>319</v>
      </c>
      <c r="O201">
        <v>0</v>
      </c>
      <c r="P201">
        <v>0</v>
      </c>
      <c r="Q201">
        <v>3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319</v>
      </c>
      <c r="Z201">
        <v>0</v>
      </c>
      <c r="AA201">
        <v>0</v>
      </c>
      <c r="AB201">
        <v>319</v>
      </c>
      <c r="AC201">
        <v>7</v>
      </c>
      <c r="AD201">
        <v>312</v>
      </c>
      <c r="AE201">
        <v>5</v>
      </c>
      <c r="AF201">
        <v>2</v>
      </c>
      <c r="AG201">
        <v>0</v>
      </c>
      <c r="AH201">
        <v>0</v>
      </c>
      <c r="AI201">
        <v>1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2</v>
      </c>
      <c r="AP201">
        <v>5</v>
      </c>
      <c r="AQ201">
        <v>5</v>
      </c>
      <c r="AR201">
        <v>3</v>
      </c>
      <c r="AS201">
        <v>0</v>
      </c>
      <c r="AT201">
        <v>0</v>
      </c>
      <c r="AU201">
        <v>0</v>
      </c>
      <c r="AV201">
        <v>0</v>
      </c>
      <c r="AW201">
        <v>2</v>
      </c>
      <c r="AX201">
        <v>0</v>
      </c>
      <c r="AY201">
        <v>0</v>
      </c>
      <c r="AZ201">
        <v>0</v>
      </c>
      <c r="BA201">
        <v>0</v>
      </c>
      <c r="BB201">
        <v>5</v>
      </c>
      <c r="BC201">
        <v>74</v>
      </c>
      <c r="BD201">
        <v>13</v>
      </c>
      <c r="BE201">
        <v>0</v>
      </c>
      <c r="BF201">
        <v>2</v>
      </c>
      <c r="BG201">
        <v>0</v>
      </c>
      <c r="BH201">
        <v>4</v>
      </c>
      <c r="BI201">
        <v>0</v>
      </c>
      <c r="BJ201">
        <v>2</v>
      </c>
      <c r="BK201">
        <v>1</v>
      </c>
      <c r="BL201">
        <v>52</v>
      </c>
      <c r="BM201">
        <v>0</v>
      </c>
      <c r="BN201">
        <v>74</v>
      </c>
      <c r="BO201">
        <v>110</v>
      </c>
      <c r="BP201">
        <v>16</v>
      </c>
      <c r="BQ201">
        <v>37</v>
      </c>
      <c r="BR201">
        <v>20</v>
      </c>
      <c r="BS201">
        <v>31</v>
      </c>
      <c r="BT201">
        <v>1</v>
      </c>
      <c r="BU201">
        <v>0</v>
      </c>
      <c r="BV201">
        <v>1</v>
      </c>
      <c r="BW201">
        <v>2</v>
      </c>
      <c r="BX201">
        <v>1</v>
      </c>
      <c r="BY201">
        <v>1</v>
      </c>
      <c r="BZ201">
        <v>110</v>
      </c>
      <c r="CA201">
        <v>7</v>
      </c>
      <c r="CB201">
        <v>2</v>
      </c>
      <c r="CC201">
        <v>3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1</v>
      </c>
      <c r="CJ201">
        <v>1</v>
      </c>
      <c r="CK201">
        <v>0</v>
      </c>
      <c r="CL201">
        <v>7</v>
      </c>
      <c r="CM201">
        <v>5</v>
      </c>
      <c r="CN201">
        <v>5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5</v>
      </c>
      <c r="CY201">
        <v>10</v>
      </c>
      <c r="CZ201">
        <v>2</v>
      </c>
      <c r="DA201">
        <v>0</v>
      </c>
      <c r="DB201">
        <v>1</v>
      </c>
      <c r="DC201">
        <v>0</v>
      </c>
      <c r="DD201">
        <v>0</v>
      </c>
      <c r="DE201">
        <v>1</v>
      </c>
      <c r="DF201">
        <v>0</v>
      </c>
      <c r="DG201">
        <v>0</v>
      </c>
      <c r="DH201">
        <v>1</v>
      </c>
      <c r="DI201">
        <v>5</v>
      </c>
      <c r="DJ201">
        <v>10</v>
      </c>
      <c r="DK201">
        <v>18</v>
      </c>
      <c r="DL201">
        <v>6</v>
      </c>
      <c r="DM201">
        <v>2</v>
      </c>
      <c r="DN201">
        <v>0</v>
      </c>
      <c r="DO201">
        <v>1</v>
      </c>
      <c r="DP201">
        <v>6</v>
      </c>
      <c r="DQ201">
        <v>1</v>
      </c>
      <c r="DR201">
        <v>1</v>
      </c>
      <c r="DS201">
        <v>1</v>
      </c>
      <c r="DT201">
        <v>0</v>
      </c>
      <c r="DU201">
        <v>0</v>
      </c>
      <c r="DV201">
        <v>18</v>
      </c>
      <c r="DW201">
        <v>78</v>
      </c>
      <c r="DX201">
        <v>4</v>
      </c>
      <c r="DY201">
        <v>20</v>
      </c>
      <c r="DZ201">
        <v>3</v>
      </c>
      <c r="EA201">
        <v>48</v>
      </c>
      <c r="EB201">
        <v>2</v>
      </c>
      <c r="EC201">
        <v>0</v>
      </c>
      <c r="ED201">
        <v>0</v>
      </c>
      <c r="EE201">
        <v>0</v>
      </c>
      <c r="EF201">
        <v>1</v>
      </c>
      <c r="EG201">
        <v>0</v>
      </c>
      <c r="EH201">
        <v>78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0</v>
      </c>
      <c r="ES201">
        <v>0</v>
      </c>
      <c r="ET201">
        <v>0</v>
      </c>
    </row>
    <row r="202" spans="1:150" ht="12.75">
      <c r="A202">
        <v>197</v>
      </c>
      <c r="B202" t="str">
        <f>"061903"</f>
        <v>061903</v>
      </c>
      <c r="C202" t="str">
        <f>"Hańsk"</f>
        <v>Hańsk</v>
      </c>
      <c r="D202" t="str">
        <f t="shared" si="37"/>
        <v>włodawski</v>
      </c>
      <c r="E202" t="str">
        <f t="shared" si="38"/>
        <v>lubelskie</v>
      </c>
      <c r="F202">
        <v>4</v>
      </c>
      <c r="G202" t="str">
        <f>"Świetlica Wiejska w Kulczynie, Kulczyn 68, 22-235 Hańsk Pierwszy"</f>
        <v>Świetlica Wiejska w Kulczynie, Kulczyn 68, 22-235 Hańsk Pierwszy</v>
      </c>
      <c r="H202">
        <v>418</v>
      </c>
      <c r="I202">
        <v>418</v>
      </c>
      <c r="J202">
        <v>0</v>
      </c>
      <c r="K202">
        <v>290</v>
      </c>
      <c r="L202">
        <v>217</v>
      </c>
      <c r="M202">
        <v>73</v>
      </c>
      <c r="N202">
        <v>73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73</v>
      </c>
      <c r="Z202">
        <v>0</v>
      </c>
      <c r="AA202">
        <v>0</v>
      </c>
      <c r="AB202">
        <v>73</v>
      </c>
      <c r="AC202">
        <v>5</v>
      </c>
      <c r="AD202">
        <v>68</v>
      </c>
      <c r="AE202">
        <v>2</v>
      </c>
      <c r="AF202">
        <v>1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1</v>
      </c>
      <c r="AO202">
        <v>0</v>
      </c>
      <c r="AP202">
        <v>2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37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37</v>
      </c>
      <c r="BM202">
        <v>0</v>
      </c>
      <c r="BN202">
        <v>37</v>
      </c>
      <c r="BO202">
        <v>15</v>
      </c>
      <c r="BP202">
        <v>1</v>
      </c>
      <c r="BQ202">
        <v>3</v>
      </c>
      <c r="BR202">
        <v>0</v>
      </c>
      <c r="BS202">
        <v>7</v>
      </c>
      <c r="BT202">
        <v>1</v>
      </c>
      <c r="BU202">
        <v>0</v>
      </c>
      <c r="BV202">
        <v>2</v>
      </c>
      <c r="BW202">
        <v>0</v>
      </c>
      <c r="BX202">
        <v>0</v>
      </c>
      <c r="BY202">
        <v>1</v>
      </c>
      <c r="BZ202">
        <v>15</v>
      </c>
      <c r="CA202">
        <v>1</v>
      </c>
      <c r="CB202">
        <v>0</v>
      </c>
      <c r="CC202">
        <v>0</v>
      </c>
      <c r="CD202">
        <v>0</v>
      </c>
      <c r="CE202">
        <v>1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1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2</v>
      </c>
      <c r="DL202">
        <v>0</v>
      </c>
      <c r="DM202">
        <v>1</v>
      </c>
      <c r="DN202">
        <v>0</v>
      </c>
      <c r="DO202">
        <v>0</v>
      </c>
      <c r="DP202">
        <v>1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2</v>
      </c>
      <c r="DW202">
        <v>11</v>
      </c>
      <c r="DX202">
        <v>1</v>
      </c>
      <c r="DY202">
        <v>2</v>
      </c>
      <c r="DZ202">
        <v>0</v>
      </c>
      <c r="EA202">
        <v>6</v>
      </c>
      <c r="EB202">
        <v>0</v>
      </c>
      <c r="EC202">
        <v>0</v>
      </c>
      <c r="ED202">
        <v>2</v>
      </c>
      <c r="EE202">
        <v>0</v>
      </c>
      <c r="EF202">
        <v>0</v>
      </c>
      <c r="EG202">
        <v>0</v>
      </c>
      <c r="EH202">
        <v>11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0</v>
      </c>
      <c r="EQ202">
        <v>0</v>
      </c>
      <c r="ER202">
        <v>0</v>
      </c>
      <c r="ES202">
        <v>0</v>
      </c>
      <c r="ET202">
        <v>0</v>
      </c>
    </row>
    <row r="203" spans="1:150" ht="12.75">
      <c r="A203">
        <v>198</v>
      </c>
      <c r="B203" t="str">
        <f>"061904"</f>
        <v>061904</v>
      </c>
      <c r="C203" t="str">
        <f>"Stary Brus"</f>
        <v>Stary Brus</v>
      </c>
      <c r="D203" t="str">
        <f t="shared" si="37"/>
        <v>włodawski</v>
      </c>
      <c r="E203" t="str">
        <f t="shared" si="38"/>
        <v>lubelskie</v>
      </c>
      <c r="F203">
        <v>1</v>
      </c>
      <c r="G203" t="str">
        <f>"Centrum Kultury, Sportu i Rekreacji, Stary Brus 34, 22-244 Stary Brus"</f>
        <v>Centrum Kultury, Sportu i Rekreacji, Stary Brus 34, 22-244 Stary Brus</v>
      </c>
      <c r="H203">
        <v>907</v>
      </c>
      <c r="I203">
        <v>907</v>
      </c>
      <c r="J203">
        <v>0</v>
      </c>
      <c r="K203">
        <v>640</v>
      </c>
      <c r="L203">
        <v>431</v>
      </c>
      <c r="M203">
        <v>209</v>
      </c>
      <c r="N203">
        <v>209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209</v>
      </c>
      <c r="Z203">
        <v>0</v>
      </c>
      <c r="AA203">
        <v>0</v>
      </c>
      <c r="AB203">
        <v>209</v>
      </c>
      <c r="AC203">
        <v>4</v>
      </c>
      <c r="AD203">
        <v>205</v>
      </c>
      <c r="AE203">
        <v>7</v>
      </c>
      <c r="AF203">
        <v>1</v>
      </c>
      <c r="AG203">
        <v>0</v>
      </c>
      <c r="AH203">
        <v>0</v>
      </c>
      <c r="AI203">
        <v>0</v>
      </c>
      <c r="AJ203">
        <v>3</v>
      </c>
      <c r="AK203">
        <v>1</v>
      </c>
      <c r="AL203">
        <v>0</v>
      </c>
      <c r="AM203">
        <v>1</v>
      </c>
      <c r="AN203">
        <v>0</v>
      </c>
      <c r="AO203">
        <v>1</v>
      </c>
      <c r="AP203">
        <v>7</v>
      </c>
      <c r="AQ203">
        <v>5</v>
      </c>
      <c r="AR203">
        <v>3</v>
      </c>
      <c r="AS203">
        <v>1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1</v>
      </c>
      <c r="AZ203">
        <v>0</v>
      </c>
      <c r="BA203">
        <v>0</v>
      </c>
      <c r="BB203">
        <v>5</v>
      </c>
      <c r="BC203">
        <v>8</v>
      </c>
      <c r="BD203">
        <v>0</v>
      </c>
      <c r="BE203">
        <v>2</v>
      </c>
      <c r="BF203">
        <v>0</v>
      </c>
      <c r="BG203">
        <v>0</v>
      </c>
      <c r="BH203">
        <v>4</v>
      </c>
      <c r="BI203">
        <v>0</v>
      </c>
      <c r="BJ203">
        <v>0</v>
      </c>
      <c r="BK203">
        <v>0</v>
      </c>
      <c r="BL203">
        <v>2</v>
      </c>
      <c r="BM203">
        <v>0</v>
      </c>
      <c r="BN203">
        <v>8</v>
      </c>
      <c r="BO203">
        <v>69</v>
      </c>
      <c r="BP203">
        <v>24</v>
      </c>
      <c r="BQ203">
        <v>19</v>
      </c>
      <c r="BR203">
        <v>3</v>
      </c>
      <c r="BS203">
        <v>10</v>
      </c>
      <c r="BT203">
        <v>1</v>
      </c>
      <c r="BU203">
        <v>0</v>
      </c>
      <c r="BV203">
        <v>1</v>
      </c>
      <c r="BW203">
        <v>8</v>
      </c>
      <c r="BX203">
        <v>0</v>
      </c>
      <c r="BY203">
        <v>3</v>
      </c>
      <c r="BZ203">
        <v>69</v>
      </c>
      <c r="CA203">
        <v>5</v>
      </c>
      <c r="CB203">
        <v>4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1</v>
      </c>
      <c r="CL203">
        <v>5</v>
      </c>
      <c r="CM203">
        <v>3</v>
      </c>
      <c r="CN203">
        <v>1</v>
      </c>
      <c r="CO203">
        <v>1</v>
      </c>
      <c r="CP203">
        <v>0</v>
      </c>
      <c r="CQ203">
        <v>0</v>
      </c>
      <c r="CR203">
        <v>0</v>
      </c>
      <c r="CS203">
        <v>0</v>
      </c>
      <c r="CT203">
        <v>1</v>
      </c>
      <c r="CU203">
        <v>0</v>
      </c>
      <c r="CV203">
        <v>0</v>
      </c>
      <c r="CW203">
        <v>0</v>
      </c>
      <c r="CX203">
        <v>3</v>
      </c>
      <c r="CY203">
        <v>8</v>
      </c>
      <c r="CZ203">
        <v>4</v>
      </c>
      <c r="DA203">
        <v>0</v>
      </c>
      <c r="DB203">
        <v>1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3</v>
      </c>
      <c r="DJ203">
        <v>8</v>
      </c>
      <c r="DK203">
        <v>31</v>
      </c>
      <c r="DL203">
        <v>9</v>
      </c>
      <c r="DM203">
        <v>2</v>
      </c>
      <c r="DN203">
        <v>0</v>
      </c>
      <c r="DO203">
        <v>1</v>
      </c>
      <c r="DP203">
        <v>16</v>
      </c>
      <c r="DQ203">
        <v>2</v>
      </c>
      <c r="DR203">
        <v>0</v>
      </c>
      <c r="DS203">
        <v>0</v>
      </c>
      <c r="DT203">
        <v>1</v>
      </c>
      <c r="DU203">
        <v>0</v>
      </c>
      <c r="DV203">
        <v>31</v>
      </c>
      <c r="DW203">
        <v>67</v>
      </c>
      <c r="DX203">
        <v>9</v>
      </c>
      <c r="DY203">
        <v>32</v>
      </c>
      <c r="DZ203">
        <v>9</v>
      </c>
      <c r="EA203">
        <v>15</v>
      </c>
      <c r="EB203">
        <v>0</v>
      </c>
      <c r="EC203">
        <v>0</v>
      </c>
      <c r="ED203">
        <v>2</v>
      </c>
      <c r="EE203">
        <v>0</v>
      </c>
      <c r="EF203">
        <v>0</v>
      </c>
      <c r="EG203">
        <v>0</v>
      </c>
      <c r="EH203">
        <v>67</v>
      </c>
      <c r="EI203">
        <v>2</v>
      </c>
      <c r="EJ203">
        <v>1</v>
      </c>
      <c r="EK203">
        <v>0</v>
      </c>
      <c r="EL203">
        <v>0</v>
      </c>
      <c r="EM203">
        <v>0</v>
      </c>
      <c r="EN203">
        <v>0</v>
      </c>
      <c r="EO203">
        <v>0</v>
      </c>
      <c r="EP203">
        <v>0</v>
      </c>
      <c r="EQ203">
        <v>1</v>
      </c>
      <c r="ER203">
        <v>0</v>
      </c>
      <c r="ES203">
        <v>0</v>
      </c>
      <c r="ET203">
        <v>2</v>
      </c>
    </row>
    <row r="204" spans="1:150" ht="12.75">
      <c r="A204">
        <v>199</v>
      </c>
      <c r="B204" t="str">
        <f>"061904"</f>
        <v>061904</v>
      </c>
      <c r="C204" t="str">
        <f>"Stary Brus"</f>
        <v>Stary Brus</v>
      </c>
      <c r="D204" t="str">
        <f t="shared" si="37"/>
        <v>włodawski</v>
      </c>
      <c r="E204" t="str">
        <f t="shared" si="38"/>
        <v>lubelskie</v>
      </c>
      <c r="F204">
        <v>2</v>
      </c>
      <c r="G204" t="str">
        <f>"Remiza OSP, Wołoskowola 60, 22-244 Stary Brus"</f>
        <v>Remiza OSP, Wołoskowola 60, 22-244 Stary Brus</v>
      </c>
      <c r="H204">
        <v>368</v>
      </c>
      <c r="I204">
        <v>368</v>
      </c>
      <c r="J204">
        <v>0</v>
      </c>
      <c r="K204">
        <v>260</v>
      </c>
      <c r="L204">
        <v>164</v>
      </c>
      <c r="M204">
        <v>96</v>
      </c>
      <c r="N204">
        <v>96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96</v>
      </c>
      <c r="Z204">
        <v>0</v>
      </c>
      <c r="AA204">
        <v>0</v>
      </c>
      <c r="AB204">
        <v>96</v>
      </c>
      <c r="AC204">
        <v>5</v>
      </c>
      <c r="AD204">
        <v>91</v>
      </c>
      <c r="AE204">
        <v>4</v>
      </c>
      <c r="AF204">
        <v>1</v>
      </c>
      <c r="AG204">
        <v>1</v>
      </c>
      <c r="AH204">
        <v>1</v>
      </c>
      <c r="AI204">
        <v>1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4</v>
      </c>
      <c r="AQ204">
        <v>2</v>
      </c>
      <c r="AR204">
        <v>1</v>
      </c>
      <c r="AS204">
        <v>0</v>
      </c>
      <c r="AT204">
        <v>0</v>
      </c>
      <c r="AU204">
        <v>0</v>
      </c>
      <c r="AV204">
        <v>0</v>
      </c>
      <c r="AW204">
        <v>1</v>
      </c>
      <c r="AX204">
        <v>0</v>
      </c>
      <c r="AY204">
        <v>0</v>
      </c>
      <c r="AZ204">
        <v>0</v>
      </c>
      <c r="BA204">
        <v>0</v>
      </c>
      <c r="BB204">
        <v>2</v>
      </c>
      <c r="BC204">
        <v>5</v>
      </c>
      <c r="BD204">
        <v>1</v>
      </c>
      <c r="BE204">
        <v>1</v>
      </c>
      <c r="BF204">
        <v>1</v>
      </c>
      <c r="BG204">
        <v>1</v>
      </c>
      <c r="BH204">
        <v>0</v>
      </c>
      <c r="BI204">
        <v>0</v>
      </c>
      <c r="BJ204">
        <v>0</v>
      </c>
      <c r="BK204">
        <v>0</v>
      </c>
      <c r="BL204">
        <v>1</v>
      </c>
      <c r="BM204">
        <v>0</v>
      </c>
      <c r="BN204">
        <v>5</v>
      </c>
      <c r="BO204">
        <v>49</v>
      </c>
      <c r="BP204">
        <v>15</v>
      </c>
      <c r="BQ204">
        <v>15</v>
      </c>
      <c r="BR204">
        <v>4</v>
      </c>
      <c r="BS204">
        <v>9</v>
      </c>
      <c r="BT204">
        <v>2</v>
      </c>
      <c r="BU204">
        <v>0</v>
      </c>
      <c r="BV204">
        <v>0</v>
      </c>
      <c r="BW204">
        <v>2</v>
      </c>
      <c r="BX204">
        <v>0</v>
      </c>
      <c r="BY204">
        <v>2</v>
      </c>
      <c r="BZ204">
        <v>49</v>
      </c>
      <c r="CA204">
        <v>2</v>
      </c>
      <c r="CB204">
        <v>1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1</v>
      </c>
      <c r="CI204">
        <v>0</v>
      </c>
      <c r="CJ204">
        <v>0</v>
      </c>
      <c r="CK204">
        <v>0</v>
      </c>
      <c r="CL204">
        <v>2</v>
      </c>
      <c r="CM204">
        <v>3</v>
      </c>
      <c r="CN204">
        <v>1</v>
      </c>
      <c r="CO204">
        <v>1</v>
      </c>
      <c r="CP204">
        <v>1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3</v>
      </c>
      <c r="CY204">
        <v>5</v>
      </c>
      <c r="CZ204">
        <v>2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3</v>
      </c>
      <c r="DJ204">
        <v>5</v>
      </c>
      <c r="DK204">
        <v>5</v>
      </c>
      <c r="DL204">
        <v>0</v>
      </c>
      <c r="DM204">
        <v>1</v>
      </c>
      <c r="DN204">
        <v>2</v>
      </c>
      <c r="DO204">
        <v>0</v>
      </c>
      <c r="DP204">
        <v>2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5</v>
      </c>
      <c r="DW204">
        <v>16</v>
      </c>
      <c r="DX204">
        <v>2</v>
      </c>
      <c r="DY204">
        <v>5</v>
      </c>
      <c r="DZ204">
        <v>0</v>
      </c>
      <c r="EA204">
        <v>7</v>
      </c>
      <c r="EB204">
        <v>0</v>
      </c>
      <c r="EC204">
        <v>0</v>
      </c>
      <c r="ED204">
        <v>0</v>
      </c>
      <c r="EE204">
        <v>0</v>
      </c>
      <c r="EF204">
        <v>1</v>
      </c>
      <c r="EG204">
        <v>1</v>
      </c>
      <c r="EH204">
        <v>16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0</v>
      </c>
      <c r="EP204">
        <v>0</v>
      </c>
      <c r="EQ204">
        <v>0</v>
      </c>
      <c r="ER204">
        <v>0</v>
      </c>
      <c r="ES204">
        <v>0</v>
      </c>
      <c r="ET204">
        <v>0</v>
      </c>
    </row>
    <row r="205" spans="1:150" ht="12.75">
      <c r="A205">
        <v>200</v>
      </c>
      <c r="B205" t="str">
        <f>"061904"</f>
        <v>061904</v>
      </c>
      <c r="C205" t="str">
        <f>"Stary Brus"</f>
        <v>Stary Brus</v>
      </c>
      <c r="D205" t="str">
        <f t="shared" si="37"/>
        <v>włodawski</v>
      </c>
      <c r="E205" t="str">
        <f t="shared" si="38"/>
        <v>lubelskie</v>
      </c>
      <c r="F205">
        <v>3</v>
      </c>
      <c r="G205" t="str">
        <f>"Remiza OSP, Hola 24, 22-244 Stary Brus"</f>
        <v>Remiza OSP, Hola 24, 22-244 Stary Brus</v>
      </c>
      <c r="H205">
        <v>208</v>
      </c>
      <c r="I205">
        <v>208</v>
      </c>
      <c r="J205">
        <v>0</v>
      </c>
      <c r="K205">
        <v>150</v>
      </c>
      <c r="L205">
        <v>117</v>
      </c>
      <c r="M205">
        <v>33</v>
      </c>
      <c r="N205">
        <v>33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33</v>
      </c>
      <c r="Z205">
        <v>0</v>
      </c>
      <c r="AA205">
        <v>0</v>
      </c>
      <c r="AB205">
        <v>33</v>
      </c>
      <c r="AC205">
        <v>0</v>
      </c>
      <c r="AD205">
        <v>33</v>
      </c>
      <c r="AE205">
        <v>4</v>
      </c>
      <c r="AF205">
        <v>0</v>
      </c>
      <c r="AG205">
        <v>0</v>
      </c>
      <c r="AH205">
        <v>1</v>
      </c>
      <c r="AI205">
        <v>0</v>
      </c>
      <c r="AJ205">
        <v>0</v>
      </c>
      <c r="AK205">
        <v>3</v>
      </c>
      <c r="AL205">
        <v>0</v>
      </c>
      <c r="AM205">
        <v>0</v>
      </c>
      <c r="AN205">
        <v>0</v>
      </c>
      <c r="AO205">
        <v>0</v>
      </c>
      <c r="AP205">
        <v>4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4</v>
      </c>
      <c r="BD205">
        <v>3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1</v>
      </c>
      <c r="BL205">
        <v>0</v>
      </c>
      <c r="BM205">
        <v>0</v>
      </c>
      <c r="BN205">
        <v>4</v>
      </c>
      <c r="BO205">
        <v>8</v>
      </c>
      <c r="BP205">
        <v>5</v>
      </c>
      <c r="BQ205">
        <v>2</v>
      </c>
      <c r="BR205">
        <v>0</v>
      </c>
      <c r="BS205">
        <v>1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8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3</v>
      </c>
      <c r="DL205">
        <v>0</v>
      </c>
      <c r="DM205">
        <v>1</v>
      </c>
      <c r="DN205">
        <v>0</v>
      </c>
      <c r="DO205">
        <v>0</v>
      </c>
      <c r="DP205">
        <v>2</v>
      </c>
      <c r="DQ205">
        <v>0</v>
      </c>
      <c r="DR205">
        <v>0</v>
      </c>
      <c r="DS205">
        <v>0</v>
      </c>
      <c r="DT205">
        <v>0</v>
      </c>
      <c r="DU205">
        <v>0</v>
      </c>
      <c r="DV205">
        <v>3</v>
      </c>
      <c r="DW205">
        <v>14</v>
      </c>
      <c r="DX205">
        <v>0</v>
      </c>
      <c r="DY205">
        <v>7</v>
      </c>
      <c r="DZ205">
        <v>0</v>
      </c>
      <c r="EA205">
        <v>4</v>
      </c>
      <c r="EB205">
        <v>3</v>
      </c>
      <c r="EC205">
        <v>0</v>
      </c>
      <c r="ED205">
        <v>0</v>
      </c>
      <c r="EE205">
        <v>0</v>
      </c>
      <c r="EF205">
        <v>0</v>
      </c>
      <c r="EG205">
        <v>0</v>
      </c>
      <c r="EH205">
        <v>14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0</v>
      </c>
      <c r="EO205">
        <v>0</v>
      </c>
      <c r="EP205">
        <v>0</v>
      </c>
      <c r="EQ205">
        <v>0</v>
      </c>
      <c r="ER205">
        <v>0</v>
      </c>
      <c r="ES205">
        <v>0</v>
      </c>
      <c r="ET205">
        <v>0</v>
      </c>
    </row>
    <row r="206" spans="1:150" ht="12.75">
      <c r="A206">
        <v>201</v>
      </c>
      <c r="B206" t="str">
        <f>"061904"</f>
        <v>061904</v>
      </c>
      <c r="C206" t="str">
        <f>"Stary Brus"</f>
        <v>Stary Brus</v>
      </c>
      <c r="D206" t="str">
        <f t="shared" si="37"/>
        <v>włodawski</v>
      </c>
      <c r="E206" t="str">
        <f t="shared" si="38"/>
        <v>lubelskie</v>
      </c>
      <c r="F206">
        <v>4</v>
      </c>
      <c r="G206" t="str">
        <f>"Świetlica wiejska, Dominiczyn 40, 22-244 Stary Brus"</f>
        <v>Świetlica wiejska, Dominiczyn 40, 22-244 Stary Brus</v>
      </c>
      <c r="H206">
        <v>300</v>
      </c>
      <c r="I206">
        <v>300</v>
      </c>
      <c r="J206">
        <v>0</v>
      </c>
      <c r="K206">
        <v>210</v>
      </c>
      <c r="L206">
        <v>155</v>
      </c>
      <c r="M206">
        <v>55</v>
      </c>
      <c r="N206">
        <v>55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55</v>
      </c>
      <c r="Z206">
        <v>0</v>
      </c>
      <c r="AA206">
        <v>0</v>
      </c>
      <c r="AB206">
        <v>55</v>
      </c>
      <c r="AC206">
        <v>9</v>
      </c>
      <c r="AD206">
        <v>46</v>
      </c>
      <c r="AE206">
        <v>2</v>
      </c>
      <c r="AF206">
        <v>0</v>
      </c>
      <c r="AG206">
        <v>0</v>
      </c>
      <c r="AH206">
        <v>0</v>
      </c>
      <c r="AI206">
        <v>0</v>
      </c>
      <c r="AJ206">
        <v>1</v>
      </c>
      <c r="AK206">
        <v>0</v>
      </c>
      <c r="AL206">
        <v>0</v>
      </c>
      <c r="AM206">
        <v>0</v>
      </c>
      <c r="AN206">
        <v>1</v>
      </c>
      <c r="AO206">
        <v>0</v>
      </c>
      <c r="AP206">
        <v>2</v>
      </c>
      <c r="AQ206">
        <v>1</v>
      </c>
      <c r="AR206">
        <v>0</v>
      </c>
      <c r="AS206">
        <v>0</v>
      </c>
      <c r="AT206">
        <v>0</v>
      </c>
      <c r="AU206">
        <v>0</v>
      </c>
      <c r="AV206">
        <v>1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1</v>
      </c>
      <c r="BC206">
        <v>5</v>
      </c>
      <c r="BD206">
        <v>1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1</v>
      </c>
      <c r="BK206">
        <v>0</v>
      </c>
      <c r="BL206">
        <v>3</v>
      </c>
      <c r="BM206">
        <v>0</v>
      </c>
      <c r="BN206">
        <v>5</v>
      </c>
      <c r="BO206">
        <v>23</v>
      </c>
      <c r="BP206">
        <v>2</v>
      </c>
      <c r="BQ206">
        <v>7</v>
      </c>
      <c r="BR206">
        <v>4</v>
      </c>
      <c r="BS206">
        <v>8</v>
      </c>
      <c r="BT206">
        <v>0</v>
      </c>
      <c r="BU206">
        <v>0</v>
      </c>
      <c r="BV206">
        <v>0</v>
      </c>
      <c r="BW206">
        <v>0</v>
      </c>
      <c r="BX206">
        <v>1</v>
      </c>
      <c r="BY206">
        <v>1</v>
      </c>
      <c r="BZ206">
        <v>23</v>
      </c>
      <c r="CA206">
        <v>1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1</v>
      </c>
      <c r="CK206">
        <v>0</v>
      </c>
      <c r="CL206">
        <v>1</v>
      </c>
      <c r="CM206">
        <v>2</v>
      </c>
      <c r="CN206">
        <v>0</v>
      </c>
      <c r="CO206">
        <v>1</v>
      </c>
      <c r="CP206">
        <v>0</v>
      </c>
      <c r="CQ206">
        <v>0</v>
      </c>
      <c r="CR206">
        <v>1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2</v>
      </c>
      <c r="CY206">
        <v>2</v>
      </c>
      <c r="CZ206">
        <v>0</v>
      </c>
      <c r="DA206">
        <v>0</v>
      </c>
      <c r="DB206">
        <v>0</v>
      </c>
      <c r="DC206">
        <v>0</v>
      </c>
      <c r="DD206">
        <v>1</v>
      </c>
      <c r="DE206">
        <v>0</v>
      </c>
      <c r="DF206">
        <v>0</v>
      </c>
      <c r="DG206">
        <v>0</v>
      </c>
      <c r="DH206">
        <v>0</v>
      </c>
      <c r="DI206">
        <v>1</v>
      </c>
      <c r="DJ206">
        <v>2</v>
      </c>
      <c r="DK206">
        <v>4</v>
      </c>
      <c r="DL206">
        <v>2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1</v>
      </c>
      <c r="DT206">
        <v>0</v>
      </c>
      <c r="DU206">
        <v>1</v>
      </c>
      <c r="DV206">
        <v>4</v>
      </c>
      <c r="DW206">
        <v>6</v>
      </c>
      <c r="DX206">
        <v>1</v>
      </c>
      <c r="DY206">
        <v>2</v>
      </c>
      <c r="DZ206">
        <v>2</v>
      </c>
      <c r="EA206">
        <v>1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6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0</v>
      </c>
      <c r="ES206">
        <v>0</v>
      </c>
      <c r="ET206">
        <v>0</v>
      </c>
    </row>
    <row r="207" spans="1:150" ht="12.75">
      <c r="A207">
        <v>202</v>
      </c>
      <c r="B207" t="str">
        <f>"061905"</f>
        <v>061905</v>
      </c>
      <c r="C207" t="str">
        <f>"Urszulin"</f>
        <v>Urszulin</v>
      </c>
      <c r="D207" t="str">
        <f t="shared" si="37"/>
        <v>włodawski</v>
      </c>
      <c r="E207" t="str">
        <f t="shared" si="38"/>
        <v>lubelskie</v>
      </c>
      <c r="F207">
        <v>1</v>
      </c>
      <c r="G207" t="str">
        <f>"Szkoła Podstawowa w Wytycznie, Wytyczno 143, 22-234 Urszulin"</f>
        <v>Szkoła Podstawowa w Wytycznie, Wytyczno 143, 22-234 Urszulin</v>
      </c>
      <c r="H207">
        <v>508</v>
      </c>
      <c r="I207">
        <v>508</v>
      </c>
      <c r="J207">
        <v>0</v>
      </c>
      <c r="K207">
        <v>360</v>
      </c>
      <c r="L207">
        <v>288</v>
      </c>
      <c r="M207">
        <v>72</v>
      </c>
      <c r="N207">
        <v>72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72</v>
      </c>
      <c r="Z207">
        <v>0</v>
      </c>
      <c r="AA207">
        <v>0</v>
      </c>
      <c r="AB207">
        <v>72</v>
      </c>
      <c r="AC207">
        <v>3</v>
      </c>
      <c r="AD207">
        <v>69</v>
      </c>
      <c r="AE207">
        <v>3</v>
      </c>
      <c r="AF207">
        <v>1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2</v>
      </c>
      <c r="AP207">
        <v>3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10</v>
      </c>
      <c r="BD207">
        <v>3</v>
      </c>
      <c r="BE207">
        <v>2</v>
      </c>
      <c r="BF207">
        <v>0</v>
      </c>
      <c r="BG207">
        <v>0</v>
      </c>
      <c r="BH207">
        <v>0</v>
      </c>
      <c r="BI207">
        <v>1</v>
      </c>
      <c r="BJ207">
        <v>0</v>
      </c>
      <c r="BK207">
        <v>1</v>
      </c>
      <c r="BL207">
        <v>3</v>
      </c>
      <c r="BM207">
        <v>0</v>
      </c>
      <c r="BN207">
        <v>10</v>
      </c>
      <c r="BO207">
        <v>20</v>
      </c>
      <c r="BP207">
        <v>9</v>
      </c>
      <c r="BQ207">
        <v>2</v>
      </c>
      <c r="BR207">
        <v>3</v>
      </c>
      <c r="BS207">
        <v>4</v>
      </c>
      <c r="BT207">
        <v>0</v>
      </c>
      <c r="BU207">
        <v>0</v>
      </c>
      <c r="BV207">
        <v>0</v>
      </c>
      <c r="BW207">
        <v>1</v>
      </c>
      <c r="BX207">
        <v>0</v>
      </c>
      <c r="BY207">
        <v>1</v>
      </c>
      <c r="BZ207">
        <v>20</v>
      </c>
      <c r="CA207">
        <v>1</v>
      </c>
      <c r="CB207">
        <v>1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1</v>
      </c>
      <c r="CM207">
        <v>3</v>
      </c>
      <c r="CN207">
        <v>1</v>
      </c>
      <c r="CO207">
        <v>1</v>
      </c>
      <c r="CP207">
        <v>1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3</v>
      </c>
      <c r="CY207">
        <v>4</v>
      </c>
      <c r="CZ207">
        <v>2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1</v>
      </c>
      <c r="DH207">
        <v>0</v>
      </c>
      <c r="DI207">
        <v>1</v>
      </c>
      <c r="DJ207">
        <v>4</v>
      </c>
      <c r="DK207">
        <v>10</v>
      </c>
      <c r="DL207">
        <v>4</v>
      </c>
      <c r="DM207">
        <v>4</v>
      </c>
      <c r="DN207">
        <v>0</v>
      </c>
      <c r="DO207">
        <v>0</v>
      </c>
      <c r="DP207">
        <v>0</v>
      </c>
      <c r="DQ207">
        <v>0</v>
      </c>
      <c r="DR207">
        <v>0</v>
      </c>
      <c r="DS207">
        <v>2</v>
      </c>
      <c r="DT207">
        <v>0</v>
      </c>
      <c r="DU207">
        <v>0</v>
      </c>
      <c r="DV207">
        <v>10</v>
      </c>
      <c r="DW207">
        <v>18</v>
      </c>
      <c r="DX207">
        <v>1</v>
      </c>
      <c r="DY207">
        <v>9</v>
      </c>
      <c r="DZ207">
        <v>1</v>
      </c>
      <c r="EA207">
        <v>3</v>
      </c>
      <c r="EB207">
        <v>1</v>
      </c>
      <c r="EC207">
        <v>0</v>
      </c>
      <c r="ED207">
        <v>0</v>
      </c>
      <c r="EE207">
        <v>0</v>
      </c>
      <c r="EF207">
        <v>1</v>
      </c>
      <c r="EG207">
        <v>2</v>
      </c>
      <c r="EH207">
        <v>18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0</v>
      </c>
      <c r="ES207">
        <v>0</v>
      </c>
      <c r="ET207">
        <v>0</v>
      </c>
    </row>
    <row r="208" spans="1:150" ht="12.75">
      <c r="A208">
        <v>203</v>
      </c>
      <c r="B208" t="str">
        <f>"061905"</f>
        <v>061905</v>
      </c>
      <c r="C208" t="str">
        <f>"Urszulin"</f>
        <v>Urszulin</v>
      </c>
      <c r="D208" t="str">
        <f t="shared" si="37"/>
        <v>włodawski</v>
      </c>
      <c r="E208" t="str">
        <f t="shared" si="38"/>
        <v>lubelskie</v>
      </c>
      <c r="F208">
        <v>2</v>
      </c>
      <c r="G208" t="str">
        <f>"Zespół Szkół w Urszulinie (Gimnazjum), ul. Szkolna 23, 22-234 Urszulin"</f>
        <v>Zespół Szkół w Urszulinie (Gimnazjum), ul. Szkolna 23, 22-234 Urszulin</v>
      </c>
      <c r="H208">
        <v>840</v>
      </c>
      <c r="I208">
        <v>840</v>
      </c>
      <c r="J208">
        <v>0</v>
      </c>
      <c r="K208">
        <v>580</v>
      </c>
      <c r="L208">
        <v>414</v>
      </c>
      <c r="M208">
        <v>166</v>
      </c>
      <c r="N208">
        <v>166</v>
      </c>
      <c r="O208">
        <v>0</v>
      </c>
      <c r="P208">
        <v>0</v>
      </c>
      <c r="Q208">
        <v>11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166</v>
      </c>
      <c r="Z208">
        <v>0</v>
      </c>
      <c r="AA208">
        <v>0</v>
      </c>
      <c r="AB208">
        <v>166</v>
      </c>
      <c r="AC208">
        <v>3</v>
      </c>
      <c r="AD208">
        <v>163</v>
      </c>
      <c r="AE208">
        <v>4</v>
      </c>
      <c r="AF208">
        <v>0</v>
      </c>
      <c r="AG208">
        <v>0</v>
      </c>
      <c r="AH208">
        <v>1</v>
      </c>
      <c r="AI208">
        <v>0</v>
      </c>
      <c r="AJ208">
        <v>1</v>
      </c>
      <c r="AK208">
        <v>0</v>
      </c>
      <c r="AL208">
        <v>0</v>
      </c>
      <c r="AM208">
        <v>1</v>
      </c>
      <c r="AN208">
        <v>0</v>
      </c>
      <c r="AO208">
        <v>1</v>
      </c>
      <c r="AP208">
        <v>4</v>
      </c>
      <c r="AQ208">
        <v>2</v>
      </c>
      <c r="AR208">
        <v>2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2</v>
      </c>
      <c r="BC208">
        <v>13</v>
      </c>
      <c r="BD208">
        <v>1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12</v>
      </c>
      <c r="BM208">
        <v>0</v>
      </c>
      <c r="BN208">
        <v>13</v>
      </c>
      <c r="BO208">
        <v>44</v>
      </c>
      <c r="BP208">
        <v>5</v>
      </c>
      <c r="BQ208">
        <v>10</v>
      </c>
      <c r="BR208">
        <v>4</v>
      </c>
      <c r="BS208">
        <v>18</v>
      </c>
      <c r="BT208">
        <v>0</v>
      </c>
      <c r="BU208">
        <v>4</v>
      </c>
      <c r="BV208">
        <v>0</v>
      </c>
      <c r="BW208">
        <v>2</v>
      </c>
      <c r="BX208">
        <v>0</v>
      </c>
      <c r="BY208">
        <v>1</v>
      </c>
      <c r="BZ208">
        <v>44</v>
      </c>
      <c r="CA208">
        <v>9</v>
      </c>
      <c r="CB208">
        <v>6</v>
      </c>
      <c r="CC208">
        <v>3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9</v>
      </c>
      <c r="CM208">
        <v>7</v>
      </c>
      <c r="CN208">
        <v>4</v>
      </c>
      <c r="CO208">
        <v>1</v>
      </c>
      <c r="CP208">
        <v>1</v>
      </c>
      <c r="CQ208">
        <v>0</v>
      </c>
      <c r="CR208">
        <v>0</v>
      </c>
      <c r="CS208">
        <v>0</v>
      </c>
      <c r="CT208">
        <v>1</v>
      </c>
      <c r="CU208">
        <v>0</v>
      </c>
      <c r="CV208">
        <v>0</v>
      </c>
      <c r="CW208">
        <v>0</v>
      </c>
      <c r="CX208">
        <v>7</v>
      </c>
      <c r="CY208">
        <v>20</v>
      </c>
      <c r="CZ208">
        <v>9</v>
      </c>
      <c r="DA208">
        <v>0</v>
      </c>
      <c r="DB208">
        <v>0</v>
      </c>
      <c r="DC208">
        <v>0</v>
      </c>
      <c r="DD208">
        <v>0</v>
      </c>
      <c r="DE208">
        <v>2</v>
      </c>
      <c r="DF208">
        <v>3</v>
      </c>
      <c r="DG208">
        <v>0</v>
      </c>
      <c r="DH208">
        <v>0</v>
      </c>
      <c r="DI208">
        <v>6</v>
      </c>
      <c r="DJ208">
        <v>20</v>
      </c>
      <c r="DK208">
        <v>38</v>
      </c>
      <c r="DL208">
        <v>8</v>
      </c>
      <c r="DM208">
        <v>7</v>
      </c>
      <c r="DN208">
        <v>1</v>
      </c>
      <c r="DO208">
        <v>0</v>
      </c>
      <c r="DP208">
        <v>18</v>
      </c>
      <c r="DQ208">
        <v>1</v>
      </c>
      <c r="DR208">
        <v>0</v>
      </c>
      <c r="DS208">
        <v>0</v>
      </c>
      <c r="DT208">
        <v>3</v>
      </c>
      <c r="DU208">
        <v>0</v>
      </c>
      <c r="DV208">
        <v>38</v>
      </c>
      <c r="DW208">
        <v>23</v>
      </c>
      <c r="DX208">
        <v>2</v>
      </c>
      <c r="DY208">
        <v>8</v>
      </c>
      <c r="DZ208">
        <v>1</v>
      </c>
      <c r="EA208">
        <v>9</v>
      </c>
      <c r="EB208">
        <v>0</v>
      </c>
      <c r="EC208">
        <v>0</v>
      </c>
      <c r="ED208">
        <v>2</v>
      </c>
      <c r="EE208">
        <v>0</v>
      </c>
      <c r="EF208">
        <v>1</v>
      </c>
      <c r="EG208">
        <v>0</v>
      </c>
      <c r="EH208">
        <v>23</v>
      </c>
      <c r="EI208">
        <v>3</v>
      </c>
      <c r="EJ208">
        <v>0</v>
      </c>
      <c r="EK208">
        <v>0</v>
      </c>
      <c r="EL208">
        <v>0</v>
      </c>
      <c r="EM208">
        <v>0</v>
      </c>
      <c r="EN208">
        <v>0</v>
      </c>
      <c r="EO208">
        <v>0</v>
      </c>
      <c r="EP208">
        <v>0</v>
      </c>
      <c r="EQ208">
        <v>3</v>
      </c>
      <c r="ER208">
        <v>0</v>
      </c>
      <c r="ES208">
        <v>0</v>
      </c>
      <c r="ET208">
        <v>3</v>
      </c>
    </row>
    <row r="209" spans="1:150" ht="12.75">
      <c r="A209">
        <v>204</v>
      </c>
      <c r="B209" t="str">
        <f>"061905"</f>
        <v>061905</v>
      </c>
      <c r="C209" t="str">
        <f>"Urszulin"</f>
        <v>Urszulin</v>
      </c>
      <c r="D209" t="str">
        <f t="shared" si="37"/>
        <v>włodawski</v>
      </c>
      <c r="E209" t="str">
        <f t="shared" si="38"/>
        <v>lubelskie</v>
      </c>
      <c r="F209">
        <v>3</v>
      </c>
      <c r="G209" t="str">
        <f>"Świetlica OSP w Wereszczynie, Wereszczyn 40, 22-234 Urszulin"</f>
        <v>Świetlica OSP w Wereszczynie, Wereszczyn 40, 22-234 Urszulin</v>
      </c>
      <c r="H209">
        <v>444</v>
      </c>
      <c r="I209">
        <v>444</v>
      </c>
      <c r="J209">
        <v>0</v>
      </c>
      <c r="K209">
        <v>310</v>
      </c>
      <c r="L209">
        <v>231</v>
      </c>
      <c r="M209">
        <v>79</v>
      </c>
      <c r="N209">
        <v>79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79</v>
      </c>
      <c r="Z209">
        <v>0</v>
      </c>
      <c r="AA209">
        <v>0</v>
      </c>
      <c r="AB209">
        <v>79</v>
      </c>
      <c r="AC209">
        <v>5</v>
      </c>
      <c r="AD209">
        <v>74</v>
      </c>
      <c r="AE209">
        <v>2</v>
      </c>
      <c r="AF209">
        <v>0</v>
      </c>
      <c r="AG209">
        <v>0</v>
      </c>
      <c r="AH209">
        <v>0</v>
      </c>
      <c r="AI209">
        <v>1</v>
      </c>
      <c r="AJ209">
        <v>0</v>
      </c>
      <c r="AK209">
        <v>0</v>
      </c>
      <c r="AL209">
        <v>1</v>
      </c>
      <c r="AM209">
        <v>0</v>
      </c>
      <c r="AN209">
        <v>0</v>
      </c>
      <c r="AO209">
        <v>0</v>
      </c>
      <c r="AP209">
        <v>2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10</v>
      </c>
      <c r="BD209">
        <v>4</v>
      </c>
      <c r="BE209">
        <v>0</v>
      </c>
      <c r="BF209">
        <v>0</v>
      </c>
      <c r="BG209">
        <v>0</v>
      </c>
      <c r="BH209">
        <v>1</v>
      </c>
      <c r="BI209">
        <v>0</v>
      </c>
      <c r="BJ209">
        <v>0</v>
      </c>
      <c r="BK209">
        <v>2</v>
      </c>
      <c r="BL209">
        <v>2</v>
      </c>
      <c r="BM209">
        <v>1</v>
      </c>
      <c r="BN209">
        <v>10</v>
      </c>
      <c r="BO209">
        <v>27</v>
      </c>
      <c r="BP209">
        <v>9</v>
      </c>
      <c r="BQ209">
        <v>7</v>
      </c>
      <c r="BR209">
        <v>4</v>
      </c>
      <c r="BS209">
        <v>5</v>
      </c>
      <c r="BT209">
        <v>0</v>
      </c>
      <c r="BU209">
        <v>1</v>
      </c>
      <c r="BV209">
        <v>0</v>
      </c>
      <c r="BW209">
        <v>0</v>
      </c>
      <c r="BX209">
        <v>0</v>
      </c>
      <c r="BY209">
        <v>1</v>
      </c>
      <c r="BZ209">
        <v>27</v>
      </c>
      <c r="CA209">
        <v>3</v>
      </c>
      <c r="CB209">
        <v>0</v>
      </c>
      <c r="CC209">
        <v>0</v>
      </c>
      <c r="CD209">
        <v>2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1</v>
      </c>
      <c r="CL209">
        <v>3</v>
      </c>
      <c r="CM209">
        <v>11</v>
      </c>
      <c r="CN209">
        <v>1</v>
      </c>
      <c r="CO209">
        <v>0</v>
      </c>
      <c r="CP209">
        <v>10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11</v>
      </c>
      <c r="CY209">
        <v>4</v>
      </c>
      <c r="CZ209">
        <v>1</v>
      </c>
      <c r="DA209">
        <v>1</v>
      </c>
      <c r="DB209">
        <v>0</v>
      </c>
      <c r="DC209">
        <v>0</v>
      </c>
      <c r="DD209">
        <v>1</v>
      </c>
      <c r="DE209">
        <v>0</v>
      </c>
      <c r="DF209">
        <v>0</v>
      </c>
      <c r="DG209">
        <v>0</v>
      </c>
      <c r="DH209">
        <v>0</v>
      </c>
      <c r="DI209">
        <v>1</v>
      </c>
      <c r="DJ209">
        <v>4</v>
      </c>
      <c r="DK209">
        <v>2</v>
      </c>
      <c r="DL209">
        <v>0</v>
      </c>
      <c r="DM209">
        <v>0</v>
      </c>
      <c r="DN209">
        <v>0</v>
      </c>
      <c r="DO209">
        <v>0</v>
      </c>
      <c r="DP209">
        <v>2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2</v>
      </c>
      <c r="DW209">
        <v>15</v>
      </c>
      <c r="DX209">
        <v>4</v>
      </c>
      <c r="DY209">
        <v>5</v>
      </c>
      <c r="DZ209">
        <v>3</v>
      </c>
      <c r="EA209">
        <v>3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0</v>
      </c>
      <c r="EH209">
        <v>15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0</v>
      </c>
      <c r="ES209">
        <v>0</v>
      </c>
      <c r="ET209">
        <v>0</v>
      </c>
    </row>
    <row r="210" spans="1:150" ht="12.75">
      <c r="A210">
        <v>205</v>
      </c>
      <c r="B210" t="str">
        <f>"061905"</f>
        <v>061905</v>
      </c>
      <c r="C210" t="str">
        <f>"Urszulin"</f>
        <v>Urszulin</v>
      </c>
      <c r="D210" t="str">
        <f t="shared" si="37"/>
        <v>włodawski</v>
      </c>
      <c r="E210" t="str">
        <f t="shared" si="38"/>
        <v>lubelskie</v>
      </c>
      <c r="F210">
        <v>4</v>
      </c>
      <c r="G210" t="str">
        <f>"Szkoła Podstawowa w Woli Wereszczyńskiej, Wola Wereszczyńska 2, 22-234 Urszulin"</f>
        <v>Szkoła Podstawowa w Woli Wereszczyńskiej, Wola Wereszczyńska 2, 22-234 Urszulin</v>
      </c>
      <c r="H210">
        <v>489</v>
      </c>
      <c r="I210">
        <v>489</v>
      </c>
      <c r="J210">
        <v>0</v>
      </c>
      <c r="K210">
        <v>340</v>
      </c>
      <c r="L210">
        <v>236</v>
      </c>
      <c r="M210">
        <v>104</v>
      </c>
      <c r="N210">
        <v>104</v>
      </c>
      <c r="O210">
        <v>0</v>
      </c>
      <c r="P210">
        <v>0</v>
      </c>
      <c r="Q210">
        <v>2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104</v>
      </c>
      <c r="Z210">
        <v>0</v>
      </c>
      <c r="AA210">
        <v>0</v>
      </c>
      <c r="AB210">
        <v>104</v>
      </c>
      <c r="AC210">
        <v>5</v>
      </c>
      <c r="AD210">
        <v>99</v>
      </c>
      <c r="AE210">
        <v>5</v>
      </c>
      <c r="AF210">
        <v>3</v>
      </c>
      <c r="AG210">
        <v>1</v>
      </c>
      <c r="AH210">
        <v>0</v>
      </c>
      <c r="AI210">
        <v>0</v>
      </c>
      <c r="AJ210">
        <v>0</v>
      </c>
      <c r="AK210">
        <v>0</v>
      </c>
      <c r="AL210">
        <v>1</v>
      </c>
      <c r="AM210">
        <v>0</v>
      </c>
      <c r="AN210">
        <v>0</v>
      </c>
      <c r="AO210">
        <v>0</v>
      </c>
      <c r="AP210">
        <v>5</v>
      </c>
      <c r="AQ210">
        <v>2</v>
      </c>
      <c r="AR210">
        <v>1</v>
      </c>
      <c r="AS210">
        <v>0</v>
      </c>
      <c r="AT210">
        <v>0</v>
      </c>
      <c r="AU210">
        <v>0</v>
      </c>
      <c r="AV210">
        <v>0</v>
      </c>
      <c r="AW210">
        <v>1</v>
      </c>
      <c r="AX210">
        <v>0</v>
      </c>
      <c r="AY210">
        <v>0</v>
      </c>
      <c r="AZ210">
        <v>0</v>
      </c>
      <c r="BA210">
        <v>0</v>
      </c>
      <c r="BB210">
        <v>2</v>
      </c>
      <c r="BC210">
        <v>4</v>
      </c>
      <c r="BD210">
        <v>2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2</v>
      </c>
      <c r="BM210">
        <v>0</v>
      </c>
      <c r="BN210">
        <v>4</v>
      </c>
      <c r="BO210">
        <v>50</v>
      </c>
      <c r="BP210">
        <v>14</v>
      </c>
      <c r="BQ210">
        <v>17</v>
      </c>
      <c r="BR210">
        <v>1</v>
      </c>
      <c r="BS210">
        <v>11</v>
      </c>
      <c r="BT210">
        <v>1</v>
      </c>
      <c r="BU210">
        <v>1</v>
      </c>
      <c r="BV210">
        <v>3</v>
      </c>
      <c r="BW210">
        <v>1</v>
      </c>
      <c r="BX210">
        <v>0</v>
      </c>
      <c r="BY210">
        <v>1</v>
      </c>
      <c r="BZ210">
        <v>50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1</v>
      </c>
      <c r="CN210">
        <v>1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1</v>
      </c>
      <c r="CY210">
        <v>1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1</v>
      </c>
      <c r="DJ210">
        <v>1</v>
      </c>
      <c r="DK210">
        <v>11</v>
      </c>
      <c r="DL210">
        <v>5</v>
      </c>
      <c r="DM210">
        <v>2</v>
      </c>
      <c r="DN210">
        <v>0</v>
      </c>
      <c r="DO210">
        <v>0</v>
      </c>
      <c r="DP210">
        <v>1</v>
      </c>
      <c r="DQ210">
        <v>0</v>
      </c>
      <c r="DR210">
        <v>0</v>
      </c>
      <c r="DS210">
        <v>0</v>
      </c>
      <c r="DT210">
        <v>3</v>
      </c>
      <c r="DU210">
        <v>0</v>
      </c>
      <c r="DV210">
        <v>11</v>
      </c>
      <c r="DW210">
        <v>25</v>
      </c>
      <c r="DX210">
        <v>3</v>
      </c>
      <c r="DY210">
        <v>8</v>
      </c>
      <c r="DZ210">
        <v>2</v>
      </c>
      <c r="EA210">
        <v>9</v>
      </c>
      <c r="EB210">
        <v>2</v>
      </c>
      <c r="EC210">
        <v>0</v>
      </c>
      <c r="ED210">
        <v>1</v>
      </c>
      <c r="EE210">
        <v>0</v>
      </c>
      <c r="EF210">
        <v>0</v>
      </c>
      <c r="EG210">
        <v>0</v>
      </c>
      <c r="EH210">
        <v>25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0</v>
      </c>
      <c r="EP210">
        <v>0</v>
      </c>
      <c r="EQ210">
        <v>0</v>
      </c>
      <c r="ER210">
        <v>0</v>
      </c>
      <c r="ES210">
        <v>0</v>
      </c>
      <c r="ET210">
        <v>0</v>
      </c>
    </row>
    <row r="211" spans="1:150" ht="12.75">
      <c r="A211">
        <v>206</v>
      </c>
      <c r="B211" t="str">
        <f>"061905"</f>
        <v>061905</v>
      </c>
      <c r="C211" t="str">
        <f>"Urszulin"</f>
        <v>Urszulin</v>
      </c>
      <c r="D211" t="str">
        <f t="shared" si="37"/>
        <v>włodawski</v>
      </c>
      <c r="E211" t="str">
        <f t="shared" si="38"/>
        <v>lubelskie</v>
      </c>
      <c r="F211">
        <v>5</v>
      </c>
      <c r="G211" t="str">
        <f>"Świetlica OSP w Urszulinie (budynek Urzędu Gminy), Kwiatowa 35, 22-234 Urszulin"</f>
        <v>Świetlica OSP w Urszulinie (budynek Urzędu Gminy), Kwiatowa 35, 22-234 Urszulin</v>
      </c>
      <c r="H211">
        <v>1147</v>
      </c>
      <c r="I211">
        <v>1147</v>
      </c>
      <c r="J211">
        <v>0</v>
      </c>
      <c r="K211">
        <v>789</v>
      </c>
      <c r="L211">
        <v>582</v>
      </c>
      <c r="M211">
        <v>207</v>
      </c>
      <c r="N211">
        <v>207</v>
      </c>
      <c r="O211">
        <v>0</v>
      </c>
      <c r="P211">
        <v>0</v>
      </c>
      <c r="Q211">
        <v>10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207</v>
      </c>
      <c r="Z211">
        <v>0</v>
      </c>
      <c r="AA211">
        <v>0</v>
      </c>
      <c r="AB211">
        <v>207</v>
      </c>
      <c r="AC211">
        <v>4</v>
      </c>
      <c r="AD211">
        <v>203</v>
      </c>
      <c r="AE211">
        <v>2</v>
      </c>
      <c r="AF211">
        <v>1</v>
      </c>
      <c r="AG211">
        <v>0</v>
      </c>
      <c r="AH211">
        <v>0</v>
      </c>
      <c r="AI211">
        <v>1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2</v>
      </c>
      <c r="AQ211">
        <v>8</v>
      </c>
      <c r="AR211">
        <v>6</v>
      </c>
      <c r="AS211">
        <v>1</v>
      </c>
      <c r="AT211">
        <v>1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8</v>
      </c>
      <c r="BC211">
        <v>13</v>
      </c>
      <c r="BD211">
        <v>3</v>
      </c>
      <c r="BE211">
        <v>0</v>
      </c>
      <c r="BF211">
        <v>0</v>
      </c>
      <c r="BG211">
        <v>0</v>
      </c>
      <c r="BH211">
        <v>2</v>
      </c>
      <c r="BI211">
        <v>2</v>
      </c>
      <c r="BJ211">
        <v>0</v>
      </c>
      <c r="BK211">
        <v>0</v>
      </c>
      <c r="BL211">
        <v>6</v>
      </c>
      <c r="BM211">
        <v>0</v>
      </c>
      <c r="BN211">
        <v>13</v>
      </c>
      <c r="BO211">
        <v>100</v>
      </c>
      <c r="BP211">
        <v>33</v>
      </c>
      <c r="BQ211">
        <v>30</v>
      </c>
      <c r="BR211">
        <v>3</v>
      </c>
      <c r="BS211">
        <v>18</v>
      </c>
      <c r="BT211">
        <v>1</v>
      </c>
      <c r="BU211">
        <v>5</v>
      </c>
      <c r="BV211">
        <v>0</v>
      </c>
      <c r="BW211">
        <v>5</v>
      </c>
      <c r="BX211">
        <v>2</v>
      </c>
      <c r="BY211">
        <v>3</v>
      </c>
      <c r="BZ211">
        <v>100</v>
      </c>
      <c r="CA211">
        <v>3</v>
      </c>
      <c r="CB211">
        <v>1</v>
      </c>
      <c r="CC211">
        <v>1</v>
      </c>
      <c r="CD211">
        <v>0</v>
      </c>
      <c r="CE211">
        <v>0</v>
      </c>
      <c r="CF211">
        <v>0</v>
      </c>
      <c r="CG211">
        <v>0</v>
      </c>
      <c r="CH211">
        <v>1</v>
      </c>
      <c r="CI211">
        <v>0</v>
      </c>
      <c r="CJ211">
        <v>0</v>
      </c>
      <c r="CK211">
        <v>0</v>
      </c>
      <c r="CL211">
        <v>3</v>
      </c>
      <c r="CM211">
        <v>7</v>
      </c>
      <c r="CN211">
        <v>3</v>
      </c>
      <c r="CO211">
        <v>0</v>
      </c>
      <c r="CP211">
        <v>2</v>
      </c>
      <c r="CQ211">
        <v>1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1</v>
      </c>
      <c r="CX211">
        <v>7</v>
      </c>
      <c r="CY211">
        <v>13</v>
      </c>
      <c r="CZ211">
        <v>3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10</v>
      </c>
      <c r="DJ211">
        <v>13</v>
      </c>
      <c r="DK211">
        <v>24</v>
      </c>
      <c r="DL211">
        <v>3</v>
      </c>
      <c r="DM211">
        <v>8</v>
      </c>
      <c r="DN211">
        <v>0</v>
      </c>
      <c r="DO211">
        <v>1</v>
      </c>
      <c r="DP211">
        <v>8</v>
      </c>
      <c r="DQ211">
        <v>0</v>
      </c>
      <c r="DR211">
        <v>0</v>
      </c>
      <c r="DS211">
        <v>1</v>
      </c>
      <c r="DT211">
        <v>2</v>
      </c>
      <c r="DU211">
        <v>1</v>
      </c>
      <c r="DV211">
        <v>24</v>
      </c>
      <c r="DW211">
        <v>32</v>
      </c>
      <c r="DX211">
        <v>2</v>
      </c>
      <c r="DY211">
        <v>13</v>
      </c>
      <c r="DZ211">
        <v>4</v>
      </c>
      <c r="EA211">
        <v>12</v>
      </c>
      <c r="EB211">
        <v>0</v>
      </c>
      <c r="EC211">
        <v>0</v>
      </c>
      <c r="ED211">
        <v>0</v>
      </c>
      <c r="EE211">
        <v>0</v>
      </c>
      <c r="EF211">
        <v>1</v>
      </c>
      <c r="EG211">
        <v>0</v>
      </c>
      <c r="EH211">
        <v>32</v>
      </c>
      <c r="EI211">
        <v>1</v>
      </c>
      <c r="EJ211">
        <v>0</v>
      </c>
      <c r="EK211">
        <v>0</v>
      </c>
      <c r="EL211">
        <v>0</v>
      </c>
      <c r="EM211">
        <v>0</v>
      </c>
      <c r="EN211">
        <v>0</v>
      </c>
      <c r="EO211">
        <v>0</v>
      </c>
      <c r="EP211">
        <v>0</v>
      </c>
      <c r="EQ211">
        <v>0</v>
      </c>
      <c r="ER211">
        <v>0</v>
      </c>
      <c r="ES211">
        <v>1</v>
      </c>
      <c r="ET211">
        <v>1</v>
      </c>
    </row>
    <row r="212" spans="1:150" ht="12.75">
      <c r="A212">
        <v>207</v>
      </c>
      <c r="B212" t="str">
        <f aca="true" t="shared" si="39" ref="B212:B223">"061906"</f>
        <v>061906</v>
      </c>
      <c r="C212" t="str">
        <f aca="true" t="shared" si="40" ref="C212:C223">"Włodawa"</f>
        <v>Włodawa</v>
      </c>
      <c r="D212" t="str">
        <f t="shared" si="37"/>
        <v>włodawski</v>
      </c>
      <c r="E212" t="str">
        <f t="shared" si="38"/>
        <v>lubelskie</v>
      </c>
      <c r="F212">
        <v>1</v>
      </c>
      <c r="G212" t="str">
        <f>"Świetlica wiejska w Żłobku, Żłobek 27, 22-200 Włodawa"</f>
        <v>Świetlica wiejska w Żłobku, Żłobek 27, 22-200 Włodawa</v>
      </c>
      <c r="H212">
        <v>102</v>
      </c>
      <c r="I212">
        <v>102</v>
      </c>
      <c r="J212">
        <v>0</v>
      </c>
      <c r="K212">
        <v>70</v>
      </c>
      <c r="L212">
        <v>37</v>
      </c>
      <c r="M212">
        <v>33</v>
      </c>
      <c r="N212">
        <v>33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33</v>
      </c>
      <c r="Z212">
        <v>0</v>
      </c>
      <c r="AA212">
        <v>0</v>
      </c>
      <c r="AB212">
        <v>33</v>
      </c>
      <c r="AC212">
        <v>9</v>
      </c>
      <c r="AD212">
        <v>24</v>
      </c>
      <c r="AE212">
        <v>1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1</v>
      </c>
      <c r="AP212">
        <v>1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2</v>
      </c>
      <c r="BD212">
        <v>2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2</v>
      </c>
      <c r="BO212">
        <v>8</v>
      </c>
      <c r="BP212">
        <v>2</v>
      </c>
      <c r="BQ212">
        <v>1</v>
      </c>
      <c r="BR212">
        <v>3</v>
      </c>
      <c r="BS212">
        <v>2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8</v>
      </c>
      <c r="CA212">
        <v>2</v>
      </c>
      <c r="CB212">
        <v>0</v>
      </c>
      <c r="CC212">
        <v>1</v>
      </c>
      <c r="CD212">
        <v>0</v>
      </c>
      <c r="CE212">
        <v>0</v>
      </c>
      <c r="CF212">
        <v>1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2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3</v>
      </c>
      <c r="CZ212">
        <v>2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1</v>
      </c>
      <c r="DJ212">
        <v>3</v>
      </c>
      <c r="DK212">
        <v>1</v>
      </c>
      <c r="DL212">
        <v>0</v>
      </c>
      <c r="DM212">
        <v>0</v>
      </c>
      <c r="DN212">
        <v>0</v>
      </c>
      <c r="DO212">
        <v>0</v>
      </c>
      <c r="DP212">
        <v>1</v>
      </c>
      <c r="DQ212">
        <v>0</v>
      </c>
      <c r="DR212">
        <v>0</v>
      </c>
      <c r="DS212">
        <v>0</v>
      </c>
      <c r="DT212">
        <v>0</v>
      </c>
      <c r="DU212">
        <v>0</v>
      </c>
      <c r="DV212">
        <v>1</v>
      </c>
      <c r="DW212">
        <v>7</v>
      </c>
      <c r="DX212">
        <v>1</v>
      </c>
      <c r="DY212">
        <v>1</v>
      </c>
      <c r="DZ212">
        <v>0</v>
      </c>
      <c r="EA212">
        <v>4</v>
      </c>
      <c r="EB212">
        <v>1</v>
      </c>
      <c r="EC212">
        <v>0</v>
      </c>
      <c r="ED212">
        <v>0</v>
      </c>
      <c r="EE212">
        <v>0</v>
      </c>
      <c r="EF212">
        <v>0</v>
      </c>
      <c r="EG212">
        <v>0</v>
      </c>
      <c r="EH212">
        <v>7</v>
      </c>
      <c r="EI212">
        <v>0</v>
      </c>
      <c r="EJ212">
        <v>0</v>
      </c>
      <c r="EK212">
        <v>0</v>
      </c>
      <c r="EL212">
        <v>0</v>
      </c>
      <c r="EM212">
        <v>0</v>
      </c>
      <c r="EN212">
        <v>0</v>
      </c>
      <c r="EO212">
        <v>0</v>
      </c>
      <c r="EP212">
        <v>0</v>
      </c>
      <c r="EQ212">
        <v>0</v>
      </c>
      <c r="ER212">
        <v>0</v>
      </c>
      <c r="ES212">
        <v>0</v>
      </c>
      <c r="ET212">
        <v>0</v>
      </c>
    </row>
    <row r="213" spans="1:150" ht="12.75">
      <c r="A213">
        <v>208</v>
      </c>
      <c r="B213" t="str">
        <f t="shared" si="39"/>
        <v>061906</v>
      </c>
      <c r="C213" t="str">
        <f t="shared" si="40"/>
        <v>Włodawa</v>
      </c>
      <c r="D213" t="str">
        <f t="shared" si="37"/>
        <v>włodawski</v>
      </c>
      <c r="E213" t="str">
        <f t="shared" si="38"/>
        <v>lubelskie</v>
      </c>
      <c r="F213">
        <v>2</v>
      </c>
      <c r="G213" t="str">
        <f>"Świetlica wiejska w Okunince, Okuninka XIII-1, 22-200 Włodawa"</f>
        <v>Świetlica wiejska w Okunince, Okuninka XIII-1, 22-200 Włodawa</v>
      </c>
      <c r="H213">
        <v>373</v>
      </c>
      <c r="I213">
        <v>373</v>
      </c>
      <c r="J213">
        <v>0</v>
      </c>
      <c r="K213">
        <v>260</v>
      </c>
      <c r="L213">
        <v>192</v>
      </c>
      <c r="M213">
        <v>68</v>
      </c>
      <c r="N213">
        <v>68</v>
      </c>
      <c r="O213">
        <v>0</v>
      </c>
      <c r="P213">
        <v>0</v>
      </c>
      <c r="Q213">
        <v>5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68</v>
      </c>
      <c r="Z213">
        <v>0</v>
      </c>
      <c r="AA213">
        <v>0</v>
      </c>
      <c r="AB213">
        <v>68</v>
      </c>
      <c r="AC213">
        <v>0</v>
      </c>
      <c r="AD213">
        <v>68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4</v>
      </c>
      <c r="BD213">
        <v>2</v>
      </c>
      <c r="BE213">
        <v>0</v>
      </c>
      <c r="BF213">
        <v>0</v>
      </c>
      <c r="BG213">
        <v>0</v>
      </c>
      <c r="BH213">
        <v>1</v>
      </c>
      <c r="BI213">
        <v>0</v>
      </c>
      <c r="BJ213">
        <v>0</v>
      </c>
      <c r="BK213">
        <v>0</v>
      </c>
      <c r="BL213">
        <v>0</v>
      </c>
      <c r="BM213">
        <v>1</v>
      </c>
      <c r="BN213">
        <v>4</v>
      </c>
      <c r="BO213">
        <v>27</v>
      </c>
      <c r="BP213">
        <v>5</v>
      </c>
      <c r="BQ213">
        <v>13</v>
      </c>
      <c r="BR213">
        <v>2</v>
      </c>
      <c r="BS213">
        <v>7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27</v>
      </c>
      <c r="CA213">
        <v>3</v>
      </c>
      <c r="CB213">
        <v>2</v>
      </c>
      <c r="CC213">
        <v>0</v>
      </c>
      <c r="CD213">
        <v>1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3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22</v>
      </c>
      <c r="DL213">
        <v>4</v>
      </c>
      <c r="DM213">
        <v>2</v>
      </c>
      <c r="DN213">
        <v>0</v>
      </c>
      <c r="DO213">
        <v>1</v>
      </c>
      <c r="DP213">
        <v>11</v>
      </c>
      <c r="DQ213">
        <v>1</v>
      </c>
      <c r="DR213">
        <v>0</v>
      </c>
      <c r="DS213">
        <v>0</v>
      </c>
      <c r="DT213">
        <v>0</v>
      </c>
      <c r="DU213">
        <v>3</v>
      </c>
      <c r="DV213">
        <v>22</v>
      </c>
      <c r="DW213">
        <v>11</v>
      </c>
      <c r="DX213">
        <v>0</v>
      </c>
      <c r="DY213">
        <v>1</v>
      </c>
      <c r="DZ213">
        <v>0</v>
      </c>
      <c r="EA213">
        <v>10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0</v>
      </c>
      <c r="EH213">
        <v>11</v>
      </c>
      <c r="EI213">
        <v>1</v>
      </c>
      <c r="EJ213">
        <v>1</v>
      </c>
      <c r="EK213">
        <v>0</v>
      </c>
      <c r="EL213">
        <v>0</v>
      </c>
      <c r="EM213">
        <v>0</v>
      </c>
      <c r="EN213">
        <v>0</v>
      </c>
      <c r="EO213">
        <v>0</v>
      </c>
      <c r="EP213">
        <v>0</v>
      </c>
      <c r="EQ213">
        <v>0</v>
      </c>
      <c r="ER213">
        <v>0</v>
      </c>
      <c r="ES213">
        <v>0</v>
      </c>
      <c r="ET213">
        <v>1</v>
      </c>
    </row>
    <row r="214" spans="1:150" ht="12.75">
      <c r="A214">
        <v>209</v>
      </c>
      <c r="B214" t="str">
        <f t="shared" si="39"/>
        <v>061906</v>
      </c>
      <c r="C214" t="str">
        <f t="shared" si="40"/>
        <v>Włodawa</v>
      </c>
      <c r="D214" t="str">
        <f t="shared" si="37"/>
        <v>włodawski</v>
      </c>
      <c r="E214" t="str">
        <f t="shared" si="38"/>
        <v>lubelskie</v>
      </c>
      <c r="F214">
        <v>3</v>
      </c>
      <c r="G214" t="str">
        <f>"Urząd Gminy Włodawa, Al. Jana Pawła II 22, 22-200 Włodawa"</f>
        <v>Urząd Gminy Włodawa, Al. Jana Pawła II 22, 22-200 Włodawa</v>
      </c>
      <c r="H214">
        <v>871</v>
      </c>
      <c r="I214">
        <v>871</v>
      </c>
      <c r="J214">
        <v>0</v>
      </c>
      <c r="K214">
        <v>610</v>
      </c>
      <c r="L214">
        <v>433</v>
      </c>
      <c r="M214">
        <v>177</v>
      </c>
      <c r="N214">
        <v>177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177</v>
      </c>
      <c r="Z214">
        <v>0</v>
      </c>
      <c r="AA214">
        <v>0</v>
      </c>
      <c r="AB214">
        <v>177</v>
      </c>
      <c r="AC214">
        <v>2</v>
      </c>
      <c r="AD214">
        <v>175</v>
      </c>
      <c r="AE214">
        <v>5</v>
      </c>
      <c r="AF214">
        <v>1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1</v>
      </c>
      <c r="AM214">
        <v>2</v>
      </c>
      <c r="AN214">
        <v>0</v>
      </c>
      <c r="AO214">
        <v>1</v>
      </c>
      <c r="AP214">
        <v>5</v>
      </c>
      <c r="AQ214">
        <v>1</v>
      </c>
      <c r="AR214">
        <v>1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1</v>
      </c>
      <c r="BC214">
        <v>11</v>
      </c>
      <c r="BD214">
        <v>1</v>
      </c>
      <c r="BE214">
        <v>0</v>
      </c>
      <c r="BF214">
        <v>1</v>
      </c>
      <c r="BG214">
        <v>1</v>
      </c>
      <c r="BH214">
        <v>0</v>
      </c>
      <c r="BI214">
        <v>2</v>
      </c>
      <c r="BJ214">
        <v>1</v>
      </c>
      <c r="BK214">
        <v>0</v>
      </c>
      <c r="BL214">
        <v>5</v>
      </c>
      <c r="BM214">
        <v>0</v>
      </c>
      <c r="BN214">
        <v>11</v>
      </c>
      <c r="BO214">
        <v>63</v>
      </c>
      <c r="BP214">
        <v>5</v>
      </c>
      <c r="BQ214">
        <v>26</v>
      </c>
      <c r="BR214">
        <v>8</v>
      </c>
      <c r="BS214">
        <v>20</v>
      </c>
      <c r="BT214">
        <v>0</v>
      </c>
      <c r="BU214">
        <v>0</v>
      </c>
      <c r="BV214">
        <v>0</v>
      </c>
      <c r="BW214">
        <v>3</v>
      </c>
      <c r="BX214">
        <v>0</v>
      </c>
      <c r="BY214">
        <v>1</v>
      </c>
      <c r="BZ214">
        <v>63</v>
      </c>
      <c r="CA214">
        <v>4</v>
      </c>
      <c r="CB214">
        <v>1</v>
      </c>
      <c r="CC214">
        <v>2</v>
      </c>
      <c r="CD214">
        <v>1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4</v>
      </c>
      <c r="CM214">
        <v>6</v>
      </c>
      <c r="CN214">
        <v>4</v>
      </c>
      <c r="CO214">
        <v>0</v>
      </c>
      <c r="CP214">
        <v>2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6</v>
      </c>
      <c r="CY214">
        <v>16</v>
      </c>
      <c r="CZ214">
        <v>9</v>
      </c>
      <c r="DA214">
        <v>0</v>
      </c>
      <c r="DB214">
        <v>0</v>
      </c>
      <c r="DC214">
        <v>1</v>
      </c>
      <c r="DD214">
        <v>0</v>
      </c>
      <c r="DE214">
        <v>1</v>
      </c>
      <c r="DF214">
        <v>0</v>
      </c>
      <c r="DG214">
        <v>0</v>
      </c>
      <c r="DH214">
        <v>0</v>
      </c>
      <c r="DI214">
        <v>5</v>
      </c>
      <c r="DJ214">
        <v>16</v>
      </c>
      <c r="DK214">
        <v>32</v>
      </c>
      <c r="DL214">
        <v>6</v>
      </c>
      <c r="DM214">
        <v>4</v>
      </c>
      <c r="DN214">
        <v>0</v>
      </c>
      <c r="DO214">
        <v>0</v>
      </c>
      <c r="DP214">
        <v>21</v>
      </c>
      <c r="DQ214">
        <v>0</v>
      </c>
      <c r="DR214">
        <v>0</v>
      </c>
      <c r="DS214">
        <v>1</v>
      </c>
      <c r="DT214">
        <v>0</v>
      </c>
      <c r="DU214">
        <v>0</v>
      </c>
      <c r="DV214">
        <v>32</v>
      </c>
      <c r="DW214">
        <v>37</v>
      </c>
      <c r="DX214">
        <v>6</v>
      </c>
      <c r="DY214">
        <v>21</v>
      </c>
      <c r="DZ214">
        <v>1</v>
      </c>
      <c r="EA214">
        <v>8</v>
      </c>
      <c r="EB214">
        <v>0</v>
      </c>
      <c r="EC214">
        <v>0</v>
      </c>
      <c r="ED214">
        <v>0</v>
      </c>
      <c r="EE214">
        <v>1</v>
      </c>
      <c r="EF214">
        <v>0</v>
      </c>
      <c r="EG214">
        <v>0</v>
      </c>
      <c r="EH214">
        <v>37</v>
      </c>
      <c r="EI214">
        <v>0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0</v>
      </c>
      <c r="ER214">
        <v>0</v>
      </c>
      <c r="ES214">
        <v>0</v>
      </c>
      <c r="ET214">
        <v>0</v>
      </c>
    </row>
    <row r="215" spans="1:150" ht="12.75">
      <c r="A215">
        <v>210</v>
      </c>
      <c r="B215" t="str">
        <f t="shared" si="39"/>
        <v>061906</v>
      </c>
      <c r="C215" t="str">
        <f t="shared" si="40"/>
        <v>Włodawa</v>
      </c>
      <c r="D215" t="str">
        <f t="shared" si="37"/>
        <v>włodawski</v>
      </c>
      <c r="E215" t="str">
        <f t="shared" si="38"/>
        <v>lubelskie</v>
      </c>
      <c r="F215">
        <v>4</v>
      </c>
      <c r="G215" t="str">
        <f>"Świetlica wiejska Żukowie, Żuków 27, 22-200 Włodawa"</f>
        <v>Świetlica wiejska Żukowie, Żuków 27, 22-200 Włodawa</v>
      </c>
      <c r="H215">
        <v>443</v>
      </c>
      <c r="I215">
        <v>443</v>
      </c>
      <c r="J215">
        <v>0</v>
      </c>
      <c r="K215">
        <v>310</v>
      </c>
      <c r="L215">
        <v>214</v>
      </c>
      <c r="M215">
        <v>96</v>
      </c>
      <c r="N215">
        <v>96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96</v>
      </c>
      <c r="Z215">
        <v>0</v>
      </c>
      <c r="AA215">
        <v>0</v>
      </c>
      <c r="AB215">
        <v>96</v>
      </c>
      <c r="AC215">
        <v>1</v>
      </c>
      <c r="AD215">
        <v>95</v>
      </c>
      <c r="AE215">
        <v>1</v>
      </c>
      <c r="AF215">
        <v>0</v>
      </c>
      <c r="AG215">
        <v>0</v>
      </c>
      <c r="AH215">
        <v>0</v>
      </c>
      <c r="AI215">
        <v>1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1</v>
      </c>
      <c r="AQ215">
        <v>2</v>
      </c>
      <c r="AR215">
        <v>2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2</v>
      </c>
      <c r="BC215">
        <v>3</v>
      </c>
      <c r="BD215">
        <v>0</v>
      </c>
      <c r="BE215">
        <v>1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2</v>
      </c>
      <c r="BM215">
        <v>0</v>
      </c>
      <c r="BN215">
        <v>3</v>
      </c>
      <c r="BO215">
        <v>52</v>
      </c>
      <c r="BP215">
        <v>9</v>
      </c>
      <c r="BQ215">
        <v>30</v>
      </c>
      <c r="BR215">
        <v>0</v>
      </c>
      <c r="BS215">
        <v>4</v>
      </c>
      <c r="BT215">
        <v>0</v>
      </c>
      <c r="BU215">
        <v>6</v>
      </c>
      <c r="BV215">
        <v>0</v>
      </c>
      <c r="BW215">
        <v>2</v>
      </c>
      <c r="BX215">
        <v>0</v>
      </c>
      <c r="BY215">
        <v>1</v>
      </c>
      <c r="BZ215">
        <v>52</v>
      </c>
      <c r="CA215">
        <v>1</v>
      </c>
      <c r="CB215">
        <v>1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1</v>
      </c>
      <c r="CM215">
        <v>1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1</v>
      </c>
      <c r="CT215">
        <v>0</v>
      </c>
      <c r="CU215">
        <v>0</v>
      </c>
      <c r="CV215">
        <v>0</v>
      </c>
      <c r="CW215">
        <v>0</v>
      </c>
      <c r="CX215">
        <v>1</v>
      </c>
      <c r="CY215">
        <v>1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1</v>
      </c>
      <c r="DJ215">
        <v>1</v>
      </c>
      <c r="DK215">
        <v>7</v>
      </c>
      <c r="DL215">
        <v>2</v>
      </c>
      <c r="DM215">
        <v>0</v>
      </c>
      <c r="DN215">
        <v>0</v>
      </c>
      <c r="DO215">
        <v>0</v>
      </c>
      <c r="DP215">
        <v>5</v>
      </c>
      <c r="DQ215">
        <v>0</v>
      </c>
      <c r="DR215">
        <v>0</v>
      </c>
      <c r="DS215">
        <v>0</v>
      </c>
      <c r="DT215">
        <v>0</v>
      </c>
      <c r="DU215">
        <v>0</v>
      </c>
      <c r="DV215">
        <v>7</v>
      </c>
      <c r="DW215">
        <v>27</v>
      </c>
      <c r="DX215">
        <v>3</v>
      </c>
      <c r="DY215">
        <v>18</v>
      </c>
      <c r="DZ215">
        <v>0</v>
      </c>
      <c r="EA215">
        <v>3</v>
      </c>
      <c r="EB215">
        <v>2</v>
      </c>
      <c r="EC215">
        <v>1</v>
      </c>
      <c r="ED215">
        <v>0</v>
      </c>
      <c r="EE215">
        <v>0</v>
      </c>
      <c r="EF215">
        <v>0</v>
      </c>
      <c r="EG215">
        <v>0</v>
      </c>
      <c r="EH215">
        <v>27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0</v>
      </c>
      <c r="ER215">
        <v>0</v>
      </c>
      <c r="ES215">
        <v>0</v>
      </c>
      <c r="ET215">
        <v>0</v>
      </c>
    </row>
    <row r="216" spans="1:150" ht="12.75">
      <c r="A216">
        <v>211</v>
      </c>
      <c r="B216" t="str">
        <f t="shared" si="39"/>
        <v>061906</v>
      </c>
      <c r="C216" t="str">
        <f t="shared" si="40"/>
        <v>Włodawa</v>
      </c>
      <c r="D216" t="str">
        <f t="shared" si="37"/>
        <v>włodawski</v>
      </c>
      <c r="E216" t="str">
        <f t="shared" si="38"/>
        <v>lubelskie</v>
      </c>
      <c r="F216">
        <v>5</v>
      </c>
      <c r="G216" t="str">
        <f>"Szkoła Podstawowa w Różance, Różanka 213, 22-200 Włodawa"</f>
        <v>Szkoła Podstawowa w Różance, Różanka 213, 22-200 Włodawa</v>
      </c>
      <c r="H216">
        <v>621</v>
      </c>
      <c r="I216">
        <v>621</v>
      </c>
      <c r="J216">
        <v>0</v>
      </c>
      <c r="K216">
        <v>440</v>
      </c>
      <c r="L216">
        <v>316</v>
      </c>
      <c r="M216">
        <v>124</v>
      </c>
      <c r="N216">
        <v>124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124</v>
      </c>
      <c r="Z216">
        <v>0</v>
      </c>
      <c r="AA216">
        <v>0</v>
      </c>
      <c r="AB216">
        <v>124</v>
      </c>
      <c r="AC216">
        <v>5</v>
      </c>
      <c r="AD216">
        <v>119</v>
      </c>
      <c r="AE216">
        <v>8</v>
      </c>
      <c r="AF216">
        <v>1</v>
      </c>
      <c r="AG216">
        <v>1</v>
      </c>
      <c r="AH216">
        <v>0</v>
      </c>
      <c r="AI216">
        <v>1</v>
      </c>
      <c r="AJ216">
        <v>3</v>
      </c>
      <c r="AK216">
        <v>0</v>
      </c>
      <c r="AL216">
        <v>0</v>
      </c>
      <c r="AM216">
        <v>1</v>
      </c>
      <c r="AN216">
        <v>0</v>
      </c>
      <c r="AO216">
        <v>1</v>
      </c>
      <c r="AP216">
        <v>8</v>
      </c>
      <c r="AQ216">
        <v>6</v>
      </c>
      <c r="AR216">
        <v>2</v>
      </c>
      <c r="AS216">
        <v>4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6</v>
      </c>
      <c r="BC216">
        <v>19</v>
      </c>
      <c r="BD216">
        <v>13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1</v>
      </c>
      <c r="BK216">
        <v>0</v>
      </c>
      <c r="BL216">
        <v>4</v>
      </c>
      <c r="BM216">
        <v>1</v>
      </c>
      <c r="BN216">
        <v>19</v>
      </c>
      <c r="BO216">
        <v>41</v>
      </c>
      <c r="BP216">
        <v>12</v>
      </c>
      <c r="BQ216">
        <v>12</v>
      </c>
      <c r="BR216">
        <v>7</v>
      </c>
      <c r="BS216">
        <v>7</v>
      </c>
      <c r="BT216">
        <v>0</v>
      </c>
      <c r="BU216">
        <v>0</v>
      </c>
      <c r="BV216">
        <v>0</v>
      </c>
      <c r="BW216">
        <v>2</v>
      </c>
      <c r="BX216">
        <v>0</v>
      </c>
      <c r="BY216">
        <v>1</v>
      </c>
      <c r="BZ216">
        <v>41</v>
      </c>
      <c r="CA216">
        <v>2</v>
      </c>
      <c r="CB216">
        <v>1</v>
      </c>
      <c r="CC216">
        <v>1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2</v>
      </c>
      <c r="CM216">
        <v>3</v>
      </c>
      <c r="CN216">
        <v>3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3</v>
      </c>
      <c r="CY216">
        <v>6</v>
      </c>
      <c r="CZ216">
        <v>3</v>
      </c>
      <c r="DA216">
        <v>1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2</v>
      </c>
      <c r="DJ216">
        <v>6</v>
      </c>
      <c r="DK216">
        <v>8</v>
      </c>
      <c r="DL216">
        <v>0</v>
      </c>
      <c r="DM216">
        <v>1</v>
      </c>
      <c r="DN216">
        <v>0</v>
      </c>
      <c r="DO216">
        <v>0</v>
      </c>
      <c r="DP216">
        <v>6</v>
      </c>
      <c r="DQ216">
        <v>0</v>
      </c>
      <c r="DR216">
        <v>0</v>
      </c>
      <c r="DS216">
        <v>0</v>
      </c>
      <c r="DT216">
        <v>1</v>
      </c>
      <c r="DU216">
        <v>0</v>
      </c>
      <c r="DV216">
        <v>8</v>
      </c>
      <c r="DW216">
        <v>26</v>
      </c>
      <c r="DX216">
        <v>0</v>
      </c>
      <c r="DY216">
        <v>13</v>
      </c>
      <c r="DZ216">
        <v>1</v>
      </c>
      <c r="EA216">
        <v>9</v>
      </c>
      <c r="EB216">
        <v>0</v>
      </c>
      <c r="EC216">
        <v>0</v>
      </c>
      <c r="ED216">
        <v>2</v>
      </c>
      <c r="EE216">
        <v>1</v>
      </c>
      <c r="EF216">
        <v>0</v>
      </c>
      <c r="EG216">
        <v>0</v>
      </c>
      <c r="EH216">
        <v>26</v>
      </c>
      <c r="EI216">
        <v>0</v>
      </c>
      <c r="EJ216">
        <v>0</v>
      </c>
      <c r="EK216">
        <v>0</v>
      </c>
      <c r="EL216">
        <v>0</v>
      </c>
      <c r="EM216">
        <v>0</v>
      </c>
      <c r="EN216">
        <v>0</v>
      </c>
      <c r="EO216">
        <v>0</v>
      </c>
      <c r="EP216">
        <v>0</v>
      </c>
      <c r="EQ216">
        <v>0</v>
      </c>
      <c r="ER216">
        <v>0</v>
      </c>
      <c r="ES216">
        <v>0</v>
      </c>
      <c r="ET216">
        <v>0</v>
      </c>
    </row>
    <row r="217" spans="1:150" ht="12.75">
      <c r="A217">
        <v>212</v>
      </c>
      <c r="B217" t="str">
        <f t="shared" si="39"/>
        <v>061906</v>
      </c>
      <c r="C217" t="str">
        <f t="shared" si="40"/>
        <v>Włodawa</v>
      </c>
      <c r="D217" t="str">
        <f t="shared" si="37"/>
        <v>włodawski</v>
      </c>
      <c r="E217" t="str">
        <f t="shared" si="38"/>
        <v>lubelskie</v>
      </c>
      <c r="F217">
        <v>6</v>
      </c>
      <c r="G217" t="str">
        <f>"Dom Pomocy Społecznej w Różance, Różanka 117B, 22-200 Włodawa"</f>
        <v>Dom Pomocy Społecznej w Różance, Różanka 117B, 22-200 Włodawa</v>
      </c>
      <c r="H217">
        <v>399</v>
      </c>
      <c r="I217">
        <v>399</v>
      </c>
      <c r="J217">
        <v>0</v>
      </c>
      <c r="K217">
        <v>260</v>
      </c>
      <c r="L217">
        <v>208</v>
      </c>
      <c r="M217">
        <v>52</v>
      </c>
      <c r="N217">
        <v>52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52</v>
      </c>
      <c r="Z217">
        <v>0</v>
      </c>
      <c r="AA217">
        <v>0</v>
      </c>
      <c r="AB217">
        <v>52</v>
      </c>
      <c r="AC217">
        <v>6</v>
      </c>
      <c r="AD217">
        <v>46</v>
      </c>
      <c r="AE217">
        <v>3</v>
      </c>
      <c r="AF217">
        <v>0</v>
      </c>
      <c r="AG217">
        <v>0</v>
      </c>
      <c r="AH217">
        <v>0</v>
      </c>
      <c r="AI217">
        <v>0</v>
      </c>
      <c r="AJ217">
        <v>2</v>
      </c>
      <c r="AK217">
        <v>0</v>
      </c>
      <c r="AL217">
        <v>0</v>
      </c>
      <c r="AM217">
        <v>1</v>
      </c>
      <c r="AN217">
        <v>0</v>
      </c>
      <c r="AO217">
        <v>0</v>
      </c>
      <c r="AP217">
        <v>3</v>
      </c>
      <c r="AQ217">
        <v>1</v>
      </c>
      <c r="AR217">
        <v>0</v>
      </c>
      <c r="AS217">
        <v>0</v>
      </c>
      <c r="AT217">
        <v>0</v>
      </c>
      <c r="AU217">
        <v>0</v>
      </c>
      <c r="AV217">
        <v>1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1</v>
      </c>
      <c r="BC217">
        <v>2</v>
      </c>
      <c r="BD217">
        <v>0</v>
      </c>
      <c r="BE217">
        <v>1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1</v>
      </c>
      <c r="BM217">
        <v>0</v>
      </c>
      <c r="BN217">
        <v>2</v>
      </c>
      <c r="BO217">
        <v>14</v>
      </c>
      <c r="BP217">
        <v>1</v>
      </c>
      <c r="BQ217">
        <v>6</v>
      </c>
      <c r="BR217">
        <v>1</v>
      </c>
      <c r="BS217">
        <v>3</v>
      </c>
      <c r="BT217">
        <v>0</v>
      </c>
      <c r="BU217">
        <v>1</v>
      </c>
      <c r="BV217">
        <v>0</v>
      </c>
      <c r="BW217">
        <v>1</v>
      </c>
      <c r="BX217">
        <v>0</v>
      </c>
      <c r="BY217">
        <v>1</v>
      </c>
      <c r="BZ217">
        <v>14</v>
      </c>
      <c r="CA217">
        <v>1</v>
      </c>
      <c r="CB217">
        <v>1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1</v>
      </c>
      <c r="CM217">
        <v>1</v>
      </c>
      <c r="CN217">
        <v>1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1</v>
      </c>
      <c r="CY217">
        <v>2</v>
      </c>
      <c r="CZ217">
        <v>0</v>
      </c>
      <c r="DA217">
        <v>1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1</v>
      </c>
      <c r="DJ217">
        <v>2</v>
      </c>
      <c r="DK217">
        <v>7</v>
      </c>
      <c r="DL217">
        <v>1</v>
      </c>
      <c r="DM217">
        <v>1</v>
      </c>
      <c r="DN217">
        <v>0</v>
      </c>
      <c r="DO217">
        <v>0</v>
      </c>
      <c r="DP217">
        <v>4</v>
      </c>
      <c r="DQ217">
        <v>1</v>
      </c>
      <c r="DR217">
        <v>0</v>
      </c>
      <c r="DS217">
        <v>0</v>
      </c>
      <c r="DT217">
        <v>0</v>
      </c>
      <c r="DU217">
        <v>0</v>
      </c>
      <c r="DV217">
        <v>7</v>
      </c>
      <c r="DW217">
        <v>15</v>
      </c>
      <c r="DX217">
        <v>2</v>
      </c>
      <c r="DY217">
        <v>8</v>
      </c>
      <c r="DZ217">
        <v>0</v>
      </c>
      <c r="EA217">
        <v>5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0</v>
      </c>
      <c r="EH217">
        <v>15</v>
      </c>
      <c r="EI217">
        <v>0</v>
      </c>
      <c r="EJ217">
        <v>0</v>
      </c>
      <c r="EK217">
        <v>0</v>
      </c>
      <c r="EL217">
        <v>0</v>
      </c>
      <c r="EM217">
        <v>0</v>
      </c>
      <c r="EN217">
        <v>0</v>
      </c>
      <c r="EO217">
        <v>0</v>
      </c>
      <c r="EP217">
        <v>0</v>
      </c>
      <c r="EQ217">
        <v>0</v>
      </c>
      <c r="ER217">
        <v>0</v>
      </c>
      <c r="ES217">
        <v>0</v>
      </c>
      <c r="ET217">
        <v>0</v>
      </c>
    </row>
    <row r="218" spans="1:150" ht="12.75">
      <c r="A218">
        <v>213</v>
      </c>
      <c r="B218" t="str">
        <f t="shared" si="39"/>
        <v>061906</v>
      </c>
      <c r="C218" t="str">
        <f t="shared" si="40"/>
        <v>Włodawa</v>
      </c>
      <c r="D218" t="str">
        <f t="shared" si="37"/>
        <v>włodawski</v>
      </c>
      <c r="E218" t="str">
        <f t="shared" si="38"/>
        <v>lubelskie</v>
      </c>
      <c r="F218">
        <v>7</v>
      </c>
      <c r="G218" t="str">
        <f>"Świetlica wiejska w Korolówce-Osada, Korolówka-Osada 12, 22-200 Włodawa"</f>
        <v>Świetlica wiejska w Korolówce-Osada, Korolówka-Osada 12, 22-200 Włodawa</v>
      </c>
      <c r="H218">
        <v>330</v>
      </c>
      <c r="I218">
        <v>330</v>
      </c>
      <c r="J218">
        <v>0</v>
      </c>
      <c r="K218">
        <v>230</v>
      </c>
      <c r="L218">
        <v>176</v>
      </c>
      <c r="M218">
        <v>54</v>
      </c>
      <c r="N218">
        <v>54</v>
      </c>
      <c r="O218">
        <v>0</v>
      </c>
      <c r="P218">
        <v>0</v>
      </c>
      <c r="Q218">
        <v>1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54</v>
      </c>
      <c r="Z218">
        <v>0</v>
      </c>
      <c r="AA218">
        <v>0</v>
      </c>
      <c r="AB218">
        <v>54</v>
      </c>
      <c r="AC218">
        <v>1</v>
      </c>
      <c r="AD218">
        <v>53</v>
      </c>
      <c r="AE218">
        <v>2</v>
      </c>
      <c r="AF218">
        <v>0</v>
      </c>
      <c r="AG218">
        <v>0</v>
      </c>
      <c r="AH218">
        <v>0</v>
      </c>
      <c r="AI218">
        <v>1</v>
      </c>
      <c r="AJ218">
        <v>1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2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1</v>
      </c>
      <c r="BD218">
        <v>0</v>
      </c>
      <c r="BE218">
        <v>1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1</v>
      </c>
      <c r="BO218">
        <v>11</v>
      </c>
      <c r="BP218">
        <v>1</v>
      </c>
      <c r="BQ218">
        <v>2</v>
      </c>
      <c r="BR218">
        <v>4</v>
      </c>
      <c r="BS218">
        <v>1</v>
      </c>
      <c r="BT218">
        <v>2</v>
      </c>
      <c r="BU218">
        <v>0</v>
      </c>
      <c r="BV218">
        <v>0</v>
      </c>
      <c r="BW218">
        <v>0</v>
      </c>
      <c r="BX218">
        <v>0</v>
      </c>
      <c r="BY218">
        <v>1</v>
      </c>
      <c r="BZ218">
        <v>11</v>
      </c>
      <c r="CA218">
        <v>4</v>
      </c>
      <c r="CB218">
        <v>4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4</v>
      </c>
      <c r="CM218">
        <v>1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1</v>
      </c>
      <c r="CX218">
        <v>1</v>
      </c>
      <c r="CY218">
        <v>2</v>
      </c>
      <c r="CZ218">
        <v>0</v>
      </c>
      <c r="DA218">
        <v>0</v>
      </c>
      <c r="DB218">
        <v>1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1</v>
      </c>
      <c r="DJ218">
        <v>2</v>
      </c>
      <c r="DK218">
        <v>13</v>
      </c>
      <c r="DL218">
        <v>5</v>
      </c>
      <c r="DM218">
        <v>2</v>
      </c>
      <c r="DN218">
        <v>0</v>
      </c>
      <c r="DO218">
        <v>1</v>
      </c>
      <c r="DP218">
        <v>5</v>
      </c>
      <c r="DQ218">
        <v>0</v>
      </c>
      <c r="DR218">
        <v>0</v>
      </c>
      <c r="DS218">
        <v>0</v>
      </c>
      <c r="DT218">
        <v>0</v>
      </c>
      <c r="DU218">
        <v>0</v>
      </c>
      <c r="DV218">
        <v>13</v>
      </c>
      <c r="DW218">
        <v>19</v>
      </c>
      <c r="DX218">
        <v>0</v>
      </c>
      <c r="DY218">
        <v>7</v>
      </c>
      <c r="DZ218">
        <v>0</v>
      </c>
      <c r="EA218">
        <v>3</v>
      </c>
      <c r="EB218">
        <v>3</v>
      </c>
      <c r="EC218">
        <v>0</v>
      </c>
      <c r="ED218">
        <v>1</v>
      </c>
      <c r="EE218">
        <v>0</v>
      </c>
      <c r="EF218">
        <v>1</v>
      </c>
      <c r="EG218">
        <v>4</v>
      </c>
      <c r="EH218">
        <v>19</v>
      </c>
      <c r="EI218">
        <v>0</v>
      </c>
      <c r="EJ218">
        <v>0</v>
      </c>
      <c r="EK218">
        <v>0</v>
      </c>
      <c r="EL218">
        <v>0</v>
      </c>
      <c r="EM218">
        <v>0</v>
      </c>
      <c r="EN218">
        <v>0</v>
      </c>
      <c r="EO218">
        <v>0</v>
      </c>
      <c r="EP218">
        <v>0</v>
      </c>
      <c r="EQ218">
        <v>0</v>
      </c>
      <c r="ER218">
        <v>0</v>
      </c>
      <c r="ES218">
        <v>0</v>
      </c>
      <c r="ET218">
        <v>0</v>
      </c>
    </row>
    <row r="219" spans="1:150" ht="12.75">
      <c r="A219">
        <v>214</v>
      </c>
      <c r="B219" t="str">
        <f t="shared" si="39"/>
        <v>061906</v>
      </c>
      <c r="C219" t="str">
        <f t="shared" si="40"/>
        <v>Włodawa</v>
      </c>
      <c r="D219" t="str">
        <f t="shared" si="37"/>
        <v>włodawski</v>
      </c>
      <c r="E219" t="str">
        <f t="shared" si="38"/>
        <v>lubelskie</v>
      </c>
      <c r="F219">
        <v>8</v>
      </c>
      <c r="G219" t="str">
        <f>"Świetlica wiejska w Sobiborze, Sobibór 39A, 22-200 Włodawa"</f>
        <v>Świetlica wiejska w Sobiborze, Sobibór 39A, 22-200 Włodawa</v>
      </c>
      <c r="H219">
        <v>307</v>
      </c>
      <c r="I219">
        <v>307</v>
      </c>
      <c r="J219">
        <v>0</v>
      </c>
      <c r="K219">
        <v>220</v>
      </c>
      <c r="L219">
        <v>172</v>
      </c>
      <c r="M219">
        <v>48</v>
      </c>
      <c r="N219">
        <v>48</v>
      </c>
      <c r="O219">
        <v>0</v>
      </c>
      <c r="P219">
        <v>0</v>
      </c>
      <c r="Q219">
        <v>1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48</v>
      </c>
      <c r="Z219">
        <v>0</v>
      </c>
      <c r="AA219">
        <v>0</v>
      </c>
      <c r="AB219">
        <v>48</v>
      </c>
      <c r="AC219">
        <v>4</v>
      </c>
      <c r="AD219">
        <v>44</v>
      </c>
      <c r="AE219">
        <v>3</v>
      </c>
      <c r="AF219">
        <v>0</v>
      </c>
      <c r="AG219">
        <v>0</v>
      </c>
      <c r="AH219">
        <v>0</v>
      </c>
      <c r="AI219">
        <v>2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1</v>
      </c>
      <c r="AP219">
        <v>3</v>
      </c>
      <c r="AQ219">
        <v>1</v>
      </c>
      <c r="AR219">
        <v>1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1</v>
      </c>
      <c r="BC219">
        <v>1</v>
      </c>
      <c r="BD219">
        <v>0</v>
      </c>
      <c r="BE219">
        <v>0</v>
      </c>
      <c r="BF219">
        <v>0</v>
      </c>
      <c r="BG219">
        <v>1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1</v>
      </c>
      <c r="BO219">
        <v>10</v>
      </c>
      <c r="BP219">
        <v>0</v>
      </c>
      <c r="BQ219">
        <v>7</v>
      </c>
      <c r="BR219">
        <v>0</v>
      </c>
      <c r="BS219">
        <v>2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1</v>
      </c>
      <c r="BZ219">
        <v>10</v>
      </c>
      <c r="CA219">
        <v>4</v>
      </c>
      <c r="CB219">
        <v>2</v>
      </c>
      <c r="CC219">
        <v>1</v>
      </c>
      <c r="CD219">
        <v>0</v>
      </c>
      <c r="CE219">
        <v>0</v>
      </c>
      <c r="CF219">
        <v>1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4</v>
      </c>
      <c r="CM219">
        <v>1</v>
      </c>
      <c r="CN219">
        <v>1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1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11</v>
      </c>
      <c r="DL219">
        <v>3</v>
      </c>
      <c r="DM219">
        <v>0</v>
      </c>
      <c r="DN219">
        <v>0</v>
      </c>
      <c r="DO219">
        <v>0</v>
      </c>
      <c r="DP219">
        <v>7</v>
      </c>
      <c r="DQ219">
        <v>0</v>
      </c>
      <c r="DR219">
        <v>0</v>
      </c>
      <c r="DS219">
        <v>0</v>
      </c>
      <c r="DT219">
        <v>1</v>
      </c>
      <c r="DU219">
        <v>0</v>
      </c>
      <c r="DV219">
        <v>11</v>
      </c>
      <c r="DW219">
        <v>13</v>
      </c>
      <c r="DX219">
        <v>0</v>
      </c>
      <c r="DY219">
        <v>12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1</v>
      </c>
      <c r="EH219">
        <v>13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0</v>
      </c>
      <c r="EP219">
        <v>0</v>
      </c>
      <c r="EQ219">
        <v>0</v>
      </c>
      <c r="ER219">
        <v>0</v>
      </c>
      <c r="ES219">
        <v>0</v>
      </c>
      <c r="ET219">
        <v>0</v>
      </c>
    </row>
    <row r="220" spans="1:150" ht="12.75">
      <c r="A220">
        <v>215</v>
      </c>
      <c r="B220" t="str">
        <f t="shared" si="39"/>
        <v>061906</v>
      </c>
      <c r="C220" t="str">
        <f t="shared" si="40"/>
        <v>Włodawa</v>
      </c>
      <c r="D220" t="str">
        <f aca="true" t="shared" si="41" ref="D220:D236">"włodawski"</f>
        <v>włodawski</v>
      </c>
      <c r="E220" t="str">
        <f t="shared" si="38"/>
        <v>lubelskie</v>
      </c>
      <c r="F220">
        <v>9</v>
      </c>
      <c r="G220" t="str">
        <f>"Szkoła Podstawowa w Orchówku, Szkolna 35, Orchówek, 22-200 Włodawa"</f>
        <v>Szkoła Podstawowa w Orchówku, Szkolna 35, Orchówek, 22-200 Włodawa</v>
      </c>
      <c r="H220">
        <v>848</v>
      </c>
      <c r="I220">
        <v>848</v>
      </c>
      <c r="J220">
        <v>0</v>
      </c>
      <c r="K220">
        <v>600</v>
      </c>
      <c r="L220">
        <v>450</v>
      </c>
      <c r="M220">
        <v>150</v>
      </c>
      <c r="N220">
        <v>150</v>
      </c>
      <c r="O220">
        <v>0</v>
      </c>
      <c r="P220">
        <v>0</v>
      </c>
      <c r="Q220">
        <v>2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150</v>
      </c>
      <c r="Z220">
        <v>0</v>
      </c>
      <c r="AA220">
        <v>0</v>
      </c>
      <c r="AB220">
        <v>150</v>
      </c>
      <c r="AC220">
        <v>3</v>
      </c>
      <c r="AD220">
        <v>147</v>
      </c>
      <c r="AE220">
        <v>6</v>
      </c>
      <c r="AF220">
        <v>6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6</v>
      </c>
      <c r="AQ220">
        <v>6</v>
      </c>
      <c r="AR220">
        <v>2</v>
      </c>
      <c r="AS220">
        <v>1</v>
      </c>
      <c r="AT220">
        <v>1</v>
      </c>
      <c r="AU220">
        <v>0</v>
      </c>
      <c r="AV220">
        <v>0</v>
      </c>
      <c r="AW220">
        <v>1</v>
      </c>
      <c r="AX220">
        <v>0</v>
      </c>
      <c r="AY220">
        <v>0</v>
      </c>
      <c r="AZ220">
        <v>0</v>
      </c>
      <c r="BA220">
        <v>1</v>
      </c>
      <c r="BB220">
        <v>6</v>
      </c>
      <c r="BC220">
        <v>10</v>
      </c>
      <c r="BD220">
        <v>5</v>
      </c>
      <c r="BE220">
        <v>0</v>
      </c>
      <c r="BF220">
        <v>0</v>
      </c>
      <c r="BG220">
        <v>0</v>
      </c>
      <c r="BH220">
        <v>1</v>
      </c>
      <c r="BI220">
        <v>1</v>
      </c>
      <c r="BJ220">
        <v>0</v>
      </c>
      <c r="BK220">
        <v>0</v>
      </c>
      <c r="BL220">
        <v>3</v>
      </c>
      <c r="BM220">
        <v>0</v>
      </c>
      <c r="BN220">
        <v>10</v>
      </c>
      <c r="BO220">
        <v>62</v>
      </c>
      <c r="BP220">
        <v>16</v>
      </c>
      <c r="BQ220">
        <v>27</v>
      </c>
      <c r="BR220">
        <v>10</v>
      </c>
      <c r="BS220">
        <v>6</v>
      </c>
      <c r="BT220">
        <v>0</v>
      </c>
      <c r="BU220">
        <v>0</v>
      </c>
      <c r="BV220">
        <v>0</v>
      </c>
      <c r="BW220">
        <v>2</v>
      </c>
      <c r="BX220">
        <v>0</v>
      </c>
      <c r="BY220">
        <v>1</v>
      </c>
      <c r="BZ220">
        <v>62</v>
      </c>
      <c r="CA220">
        <v>3</v>
      </c>
      <c r="CB220">
        <v>2</v>
      </c>
      <c r="CC220">
        <v>0</v>
      </c>
      <c r="CD220">
        <v>0</v>
      </c>
      <c r="CE220">
        <v>0</v>
      </c>
      <c r="CF220">
        <v>0</v>
      </c>
      <c r="CG220">
        <v>1</v>
      </c>
      <c r="CH220">
        <v>0</v>
      </c>
      <c r="CI220">
        <v>0</v>
      </c>
      <c r="CJ220">
        <v>0</v>
      </c>
      <c r="CK220">
        <v>0</v>
      </c>
      <c r="CL220">
        <v>3</v>
      </c>
      <c r="CM220">
        <v>3</v>
      </c>
      <c r="CN220">
        <v>2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1</v>
      </c>
      <c r="CX220">
        <v>3</v>
      </c>
      <c r="CY220">
        <v>9</v>
      </c>
      <c r="CZ220">
        <v>1</v>
      </c>
      <c r="DA220">
        <v>1</v>
      </c>
      <c r="DB220">
        <v>0</v>
      </c>
      <c r="DC220">
        <v>0</v>
      </c>
      <c r="DD220">
        <v>0</v>
      </c>
      <c r="DE220">
        <v>1</v>
      </c>
      <c r="DF220">
        <v>1</v>
      </c>
      <c r="DG220">
        <v>0</v>
      </c>
      <c r="DH220">
        <v>1</v>
      </c>
      <c r="DI220">
        <v>4</v>
      </c>
      <c r="DJ220">
        <v>9</v>
      </c>
      <c r="DK220">
        <v>23</v>
      </c>
      <c r="DL220">
        <v>7</v>
      </c>
      <c r="DM220">
        <v>1</v>
      </c>
      <c r="DN220">
        <v>0</v>
      </c>
      <c r="DO220">
        <v>1</v>
      </c>
      <c r="DP220">
        <v>13</v>
      </c>
      <c r="DQ220">
        <v>0</v>
      </c>
      <c r="DR220">
        <v>0</v>
      </c>
      <c r="DS220">
        <v>0</v>
      </c>
      <c r="DT220">
        <v>0</v>
      </c>
      <c r="DU220">
        <v>1</v>
      </c>
      <c r="DV220">
        <v>23</v>
      </c>
      <c r="DW220">
        <v>23</v>
      </c>
      <c r="DX220">
        <v>3</v>
      </c>
      <c r="DY220">
        <v>7</v>
      </c>
      <c r="DZ220">
        <v>0</v>
      </c>
      <c r="EA220">
        <v>11</v>
      </c>
      <c r="EB220">
        <v>1</v>
      </c>
      <c r="EC220">
        <v>0</v>
      </c>
      <c r="ED220">
        <v>1</v>
      </c>
      <c r="EE220">
        <v>0</v>
      </c>
      <c r="EF220">
        <v>0</v>
      </c>
      <c r="EG220">
        <v>0</v>
      </c>
      <c r="EH220">
        <v>23</v>
      </c>
      <c r="EI220">
        <v>2</v>
      </c>
      <c r="EJ220">
        <v>1</v>
      </c>
      <c r="EK220">
        <v>0</v>
      </c>
      <c r="EL220">
        <v>0</v>
      </c>
      <c r="EM220">
        <v>0</v>
      </c>
      <c r="EN220">
        <v>0</v>
      </c>
      <c r="EO220">
        <v>0</v>
      </c>
      <c r="EP220">
        <v>0</v>
      </c>
      <c r="EQ220">
        <v>0</v>
      </c>
      <c r="ER220">
        <v>1</v>
      </c>
      <c r="ES220">
        <v>0</v>
      </c>
      <c r="ET220">
        <v>2</v>
      </c>
    </row>
    <row r="221" spans="1:150" ht="12.75">
      <c r="A221">
        <v>216</v>
      </c>
      <c r="B221" t="str">
        <f t="shared" si="39"/>
        <v>061906</v>
      </c>
      <c r="C221" t="str">
        <f t="shared" si="40"/>
        <v>Włodawa</v>
      </c>
      <c r="D221" t="str">
        <f t="shared" si="41"/>
        <v>włodawski</v>
      </c>
      <c r="E221" t="str">
        <f t="shared" si="38"/>
        <v>lubelskie</v>
      </c>
      <c r="F221">
        <v>10</v>
      </c>
      <c r="G221" t="str">
        <f>"świetlica w Sobiborze, Sobibór 103, 22-200 Włodawa"</f>
        <v>świetlica w Sobiborze, Sobibór 103, 22-200 Włodawa</v>
      </c>
      <c r="H221">
        <v>85</v>
      </c>
      <c r="I221">
        <v>85</v>
      </c>
      <c r="J221">
        <v>0</v>
      </c>
      <c r="K221">
        <v>60</v>
      </c>
      <c r="L221">
        <v>33</v>
      </c>
      <c r="M221">
        <v>27</v>
      </c>
      <c r="N221">
        <v>27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27</v>
      </c>
      <c r="Z221">
        <v>0</v>
      </c>
      <c r="AA221">
        <v>0</v>
      </c>
      <c r="AB221">
        <v>27</v>
      </c>
      <c r="AC221">
        <v>1</v>
      </c>
      <c r="AD221">
        <v>26</v>
      </c>
      <c r="AE221">
        <v>1</v>
      </c>
      <c r="AF221">
        <v>0</v>
      </c>
      <c r="AG221">
        <v>1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1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3</v>
      </c>
      <c r="BD221">
        <v>1</v>
      </c>
      <c r="BE221">
        <v>1</v>
      </c>
      <c r="BF221">
        <v>0</v>
      </c>
      <c r="BG221">
        <v>0</v>
      </c>
      <c r="BH221">
        <v>1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3</v>
      </c>
      <c r="BO221">
        <v>5</v>
      </c>
      <c r="BP221">
        <v>0</v>
      </c>
      <c r="BQ221">
        <v>2</v>
      </c>
      <c r="BR221">
        <v>2</v>
      </c>
      <c r="BS221">
        <v>1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5</v>
      </c>
      <c r="CA221">
        <v>2</v>
      </c>
      <c r="CB221">
        <v>2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2</v>
      </c>
      <c r="CM221">
        <v>1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1</v>
      </c>
      <c r="CU221">
        <v>0</v>
      </c>
      <c r="CV221">
        <v>0</v>
      </c>
      <c r="CW221">
        <v>0</v>
      </c>
      <c r="CX221">
        <v>1</v>
      </c>
      <c r="CY221">
        <v>4</v>
      </c>
      <c r="CZ221">
        <v>2</v>
      </c>
      <c r="DA221">
        <v>1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1</v>
      </c>
      <c r="DI221">
        <v>0</v>
      </c>
      <c r="DJ221">
        <v>4</v>
      </c>
      <c r="DK221">
        <v>3</v>
      </c>
      <c r="DL221">
        <v>2</v>
      </c>
      <c r="DM221">
        <v>1</v>
      </c>
      <c r="DN221">
        <v>0</v>
      </c>
      <c r="DO221">
        <v>0</v>
      </c>
      <c r="DP221">
        <v>0</v>
      </c>
      <c r="DQ221">
        <v>0</v>
      </c>
      <c r="DR221">
        <v>0</v>
      </c>
      <c r="DS221">
        <v>0</v>
      </c>
      <c r="DT221">
        <v>0</v>
      </c>
      <c r="DU221">
        <v>0</v>
      </c>
      <c r="DV221">
        <v>3</v>
      </c>
      <c r="DW221">
        <v>7</v>
      </c>
      <c r="DX221">
        <v>2</v>
      </c>
      <c r="DY221">
        <v>0</v>
      </c>
      <c r="DZ221">
        <v>0</v>
      </c>
      <c r="EA221">
        <v>5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0</v>
      </c>
      <c r="EH221">
        <v>7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0</v>
      </c>
      <c r="ER221">
        <v>0</v>
      </c>
      <c r="ES221">
        <v>0</v>
      </c>
      <c r="ET221">
        <v>0</v>
      </c>
    </row>
    <row r="222" spans="1:150" ht="12.75">
      <c r="A222">
        <v>217</v>
      </c>
      <c r="B222" t="str">
        <f t="shared" si="39"/>
        <v>061906</v>
      </c>
      <c r="C222" t="str">
        <f t="shared" si="40"/>
        <v>Włodawa</v>
      </c>
      <c r="D222" t="str">
        <f t="shared" si="41"/>
        <v>włodawski</v>
      </c>
      <c r="E222" t="str">
        <f t="shared" si="38"/>
        <v>lubelskie</v>
      </c>
      <c r="F222">
        <v>11</v>
      </c>
      <c r="G222" t="str">
        <f>"świetlica wiejska w Szumince, Szuminka 36A, 22-200 Włodawa"</f>
        <v>świetlica wiejska w Szumince, Szuminka 36A, 22-200 Włodawa</v>
      </c>
      <c r="H222">
        <v>179</v>
      </c>
      <c r="I222">
        <v>179</v>
      </c>
      <c r="J222">
        <v>0</v>
      </c>
      <c r="K222">
        <v>130</v>
      </c>
      <c r="L222">
        <v>87</v>
      </c>
      <c r="M222">
        <v>43</v>
      </c>
      <c r="N222">
        <v>43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43</v>
      </c>
      <c r="Z222">
        <v>0</v>
      </c>
      <c r="AA222">
        <v>0</v>
      </c>
      <c r="AB222">
        <v>43</v>
      </c>
      <c r="AC222">
        <v>3</v>
      </c>
      <c r="AD222">
        <v>40</v>
      </c>
      <c r="AE222">
        <v>1</v>
      </c>
      <c r="AF222">
        <v>1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1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1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1</v>
      </c>
      <c r="BM222">
        <v>0</v>
      </c>
      <c r="BN222">
        <v>1</v>
      </c>
      <c r="BO222">
        <v>18</v>
      </c>
      <c r="BP222">
        <v>2</v>
      </c>
      <c r="BQ222">
        <v>9</v>
      </c>
      <c r="BR222">
        <v>4</v>
      </c>
      <c r="BS222">
        <v>0</v>
      </c>
      <c r="BT222">
        <v>2</v>
      </c>
      <c r="BU222">
        <v>0</v>
      </c>
      <c r="BV222">
        <v>0</v>
      </c>
      <c r="BW222">
        <v>1</v>
      </c>
      <c r="BX222">
        <v>0</v>
      </c>
      <c r="BY222">
        <v>0</v>
      </c>
      <c r="BZ222">
        <v>18</v>
      </c>
      <c r="CA222">
        <v>2</v>
      </c>
      <c r="CB222">
        <v>1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1</v>
      </c>
      <c r="CJ222">
        <v>0</v>
      </c>
      <c r="CK222">
        <v>0</v>
      </c>
      <c r="CL222">
        <v>2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1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1</v>
      </c>
      <c r="DI222">
        <v>0</v>
      </c>
      <c r="DJ222">
        <v>1</v>
      </c>
      <c r="DK222">
        <v>6</v>
      </c>
      <c r="DL222">
        <v>1</v>
      </c>
      <c r="DM222">
        <v>0</v>
      </c>
      <c r="DN222">
        <v>1</v>
      </c>
      <c r="DO222">
        <v>0</v>
      </c>
      <c r="DP222">
        <v>4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6</v>
      </c>
      <c r="DW222">
        <v>9</v>
      </c>
      <c r="DX222">
        <v>1</v>
      </c>
      <c r="DY222">
        <v>0</v>
      </c>
      <c r="DZ222">
        <v>1</v>
      </c>
      <c r="EA222">
        <v>5</v>
      </c>
      <c r="EB222">
        <v>1</v>
      </c>
      <c r="EC222">
        <v>1</v>
      </c>
      <c r="ED222">
        <v>0</v>
      </c>
      <c r="EE222">
        <v>0</v>
      </c>
      <c r="EF222">
        <v>0</v>
      </c>
      <c r="EG222">
        <v>0</v>
      </c>
      <c r="EH222">
        <v>9</v>
      </c>
      <c r="EI222">
        <v>2</v>
      </c>
      <c r="EJ222">
        <v>0</v>
      </c>
      <c r="EK222">
        <v>0</v>
      </c>
      <c r="EL222">
        <v>1</v>
      </c>
      <c r="EM222">
        <v>0</v>
      </c>
      <c r="EN222">
        <v>0</v>
      </c>
      <c r="EO222">
        <v>0</v>
      </c>
      <c r="EP222">
        <v>0</v>
      </c>
      <c r="EQ222">
        <v>1</v>
      </c>
      <c r="ER222">
        <v>0</v>
      </c>
      <c r="ES222">
        <v>0</v>
      </c>
      <c r="ET222">
        <v>2</v>
      </c>
    </row>
    <row r="223" spans="1:150" ht="12.75">
      <c r="A223">
        <v>218</v>
      </c>
      <c r="B223" t="str">
        <f t="shared" si="39"/>
        <v>061906</v>
      </c>
      <c r="C223" t="str">
        <f t="shared" si="40"/>
        <v>Włodawa</v>
      </c>
      <c r="D223" t="str">
        <f t="shared" si="41"/>
        <v>włodawski</v>
      </c>
      <c r="E223" t="str">
        <f t="shared" si="38"/>
        <v>lubelskie</v>
      </c>
      <c r="F223">
        <v>12</v>
      </c>
      <c r="G223" t="str">
        <f>"świetlica wiejska w Korolówce, Korolówka 84a, 22-200 Włodawa"</f>
        <v>świetlica wiejska w Korolówce, Korolówka 84a, 22-200 Włodawa</v>
      </c>
      <c r="H223">
        <v>328</v>
      </c>
      <c r="I223">
        <v>328</v>
      </c>
      <c r="J223">
        <v>0</v>
      </c>
      <c r="K223">
        <v>230</v>
      </c>
      <c r="L223">
        <v>175</v>
      </c>
      <c r="M223">
        <v>55</v>
      </c>
      <c r="N223">
        <v>55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55</v>
      </c>
      <c r="Z223">
        <v>0</v>
      </c>
      <c r="AA223">
        <v>0</v>
      </c>
      <c r="AB223">
        <v>55</v>
      </c>
      <c r="AC223">
        <v>1</v>
      </c>
      <c r="AD223">
        <v>54</v>
      </c>
      <c r="AE223">
        <v>4</v>
      </c>
      <c r="AF223">
        <v>2</v>
      </c>
      <c r="AG223">
        <v>0</v>
      </c>
      <c r="AH223">
        <v>0</v>
      </c>
      <c r="AI223">
        <v>0</v>
      </c>
      <c r="AJ223">
        <v>1</v>
      </c>
      <c r="AK223">
        <v>0</v>
      </c>
      <c r="AL223">
        <v>0</v>
      </c>
      <c r="AM223">
        <v>1</v>
      </c>
      <c r="AN223">
        <v>0</v>
      </c>
      <c r="AO223">
        <v>0</v>
      </c>
      <c r="AP223">
        <v>4</v>
      </c>
      <c r="AQ223">
        <v>1</v>
      </c>
      <c r="AR223">
        <v>0</v>
      </c>
      <c r="AS223">
        <v>0</v>
      </c>
      <c r="AT223">
        <v>0</v>
      </c>
      <c r="AU223">
        <v>0</v>
      </c>
      <c r="AV223">
        <v>1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1</v>
      </c>
      <c r="BC223">
        <v>1</v>
      </c>
      <c r="BD223">
        <v>1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1</v>
      </c>
      <c r="BO223">
        <v>29</v>
      </c>
      <c r="BP223">
        <v>0</v>
      </c>
      <c r="BQ223">
        <v>12</v>
      </c>
      <c r="BR223">
        <v>9</v>
      </c>
      <c r="BS223">
        <v>3</v>
      </c>
      <c r="BT223">
        <v>0</v>
      </c>
      <c r="BU223">
        <v>0</v>
      </c>
      <c r="BV223">
        <v>0</v>
      </c>
      <c r="BW223">
        <v>2</v>
      </c>
      <c r="BX223">
        <v>1</v>
      </c>
      <c r="BY223">
        <v>2</v>
      </c>
      <c r="BZ223">
        <v>29</v>
      </c>
      <c r="CA223">
        <v>1</v>
      </c>
      <c r="CB223">
        <v>1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1</v>
      </c>
      <c r="CM223">
        <v>4</v>
      </c>
      <c r="CN223">
        <v>2</v>
      </c>
      <c r="CO223">
        <v>0</v>
      </c>
      <c r="CP223">
        <v>0</v>
      </c>
      <c r="CQ223">
        <v>1</v>
      </c>
      <c r="CR223">
        <v>0</v>
      </c>
      <c r="CS223">
        <v>0</v>
      </c>
      <c r="CT223">
        <v>0</v>
      </c>
      <c r="CU223">
        <v>1</v>
      </c>
      <c r="CV223">
        <v>0</v>
      </c>
      <c r="CW223">
        <v>0</v>
      </c>
      <c r="CX223">
        <v>4</v>
      </c>
      <c r="CY223">
        <v>3</v>
      </c>
      <c r="CZ223">
        <v>1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1</v>
      </c>
      <c r="DH223">
        <v>0</v>
      </c>
      <c r="DI223">
        <v>1</v>
      </c>
      <c r="DJ223">
        <v>3</v>
      </c>
      <c r="DK223">
        <v>3</v>
      </c>
      <c r="DL223">
        <v>2</v>
      </c>
      <c r="DM223">
        <v>0</v>
      </c>
      <c r="DN223">
        <v>0</v>
      </c>
      <c r="DO223">
        <v>0</v>
      </c>
      <c r="DP223">
        <v>1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3</v>
      </c>
      <c r="DW223">
        <v>6</v>
      </c>
      <c r="DX223">
        <v>0</v>
      </c>
      <c r="DY223">
        <v>2</v>
      </c>
      <c r="DZ223">
        <v>1</v>
      </c>
      <c r="EA223">
        <v>3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6</v>
      </c>
      <c r="EI223">
        <v>2</v>
      </c>
      <c r="EJ223">
        <v>1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0</v>
      </c>
      <c r="EQ223">
        <v>0</v>
      </c>
      <c r="ER223">
        <v>0</v>
      </c>
      <c r="ES223">
        <v>1</v>
      </c>
      <c r="ET223">
        <v>2</v>
      </c>
    </row>
    <row r="224" spans="1:150" ht="12.75">
      <c r="A224">
        <v>219</v>
      </c>
      <c r="B224" t="str">
        <f aca="true" t="shared" si="42" ref="B224:B229">"061907"</f>
        <v>061907</v>
      </c>
      <c r="C224" t="str">
        <f aca="true" t="shared" si="43" ref="C224:C229">"Wola Uhruska"</f>
        <v>Wola Uhruska</v>
      </c>
      <c r="D224" t="str">
        <f t="shared" si="41"/>
        <v>włodawski</v>
      </c>
      <c r="E224" t="str">
        <f t="shared" si="38"/>
        <v>lubelskie</v>
      </c>
      <c r="F224">
        <v>1</v>
      </c>
      <c r="G224" t="str">
        <f>"Świetlica, Uhrusk 46, 22-230 Wola Uhruska"</f>
        <v>Świetlica, Uhrusk 46, 22-230 Wola Uhruska</v>
      </c>
      <c r="H224">
        <v>688</v>
      </c>
      <c r="I224">
        <v>688</v>
      </c>
      <c r="J224">
        <v>0</v>
      </c>
      <c r="K224">
        <v>480</v>
      </c>
      <c r="L224">
        <v>359</v>
      </c>
      <c r="M224">
        <v>121</v>
      </c>
      <c r="N224">
        <v>121</v>
      </c>
      <c r="O224">
        <v>0</v>
      </c>
      <c r="P224">
        <v>0</v>
      </c>
      <c r="Q224">
        <v>1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121</v>
      </c>
      <c r="Z224">
        <v>0</v>
      </c>
      <c r="AA224">
        <v>0</v>
      </c>
      <c r="AB224">
        <v>121</v>
      </c>
      <c r="AC224">
        <v>5</v>
      </c>
      <c r="AD224">
        <v>116</v>
      </c>
      <c r="AE224">
        <v>6</v>
      </c>
      <c r="AF224">
        <v>4</v>
      </c>
      <c r="AG224">
        <v>1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1</v>
      </c>
      <c r="AP224">
        <v>6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2</v>
      </c>
      <c r="BD224">
        <v>0</v>
      </c>
      <c r="BE224">
        <v>0</v>
      </c>
      <c r="BF224">
        <v>0</v>
      </c>
      <c r="BG224">
        <v>0</v>
      </c>
      <c r="BH224">
        <v>1</v>
      </c>
      <c r="BI224">
        <v>0</v>
      </c>
      <c r="BJ224">
        <v>0</v>
      </c>
      <c r="BK224">
        <v>0</v>
      </c>
      <c r="BL224">
        <v>1</v>
      </c>
      <c r="BM224">
        <v>0</v>
      </c>
      <c r="BN224">
        <v>2</v>
      </c>
      <c r="BO224">
        <v>53</v>
      </c>
      <c r="BP224">
        <v>10</v>
      </c>
      <c r="BQ224">
        <v>26</v>
      </c>
      <c r="BR224">
        <v>3</v>
      </c>
      <c r="BS224">
        <v>6</v>
      </c>
      <c r="BT224">
        <v>0</v>
      </c>
      <c r="BU224">
        <v>0</v>
      </c>
      <c r="BV224">
        <v>1</v>
      </c>
      <c r="BW224">
        <v>2</v>
      </c>
      <c r="BX224">
        <v>0</v>
      </c>
      <c r="BY224">
        <v>5</v>
      </c>
      <c r="BZ224">
        <v>53</v>
      </c>
      <c r="CA224">
        <v>4</v>
      </c>
      <c r="CB224">
        <v>2</v>
      </c>
      <c r="CC224">
        <v>0</v>
      </c>
      <c r="CD224">
        <v>0</v>
      </c>
      <c r="CE224">
        <v>1</v>
      </c>
      <c r="CF224">
        <v>0</v>
      </c>
      <c r="CG224">
        <v>0</v>
      </c>
      <c r="CH224">
        <v>1</v>
      </c>
      <c r="CI224">
        <v>0</v>
      </c>
      <c r="CJ224">
        <v>0</v>
      </c>
      <c r="CK224">
        <v>0</v>
      </c>
      <c r="CL224">
        <v>4</v>
      </c>
      <c r="CM224">
        <v>1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1</v>
      </c>
      <c r="CU224">
        <v>0</v>
      </c>
      <c r="CV224">
        <v>0</v>
      </c>
      <c r="CW224">
        <v>0</v>
      </c>
      <c r="CX224">
        <v>1</v>
      </c>
      <c r="CY224">
        <v>3</v>
      </c>
      <c r="CZ224">
        <v>2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1</v>
      </c>
      <c r="DJ224">
        <v>3</v>
      </c>
      <c r="DK224">
        <v>17</v>
      </c>
      <c r="DL224">
        <v>4</v>
      </c>
      <c r="DM224">
        <v>0</v>
      </c>
      <c r="DN224">
        <v>0</v>
      </c>
      <c r="DO224">
        <v>0</v>
      </c>
      <c r="DP224">
        <v>12</v>
      </c>
      <c r="DQ224">
        <v>0</v>
      </c>
      <c r="DR224">
        <v>0</v>
      </c>
      <c r="DS224">
        <v>0</v>
      </c>
      <c r="DT224">
        <v>0</v>
      </c>
      <c r="DU224">
        <v>1</v>
      </c>
      <c r="DV224">
        <v>17</v>
      </c>
      <c r="DW224">
        <v>29</v>
      </c>
      <c r="DX224">
        <v>0</v>
      </c>
      <c r="DY224">
        <v>2</v>
      </c>
      <c r="DZ224">
        <v>0</v>
      </c>
      <c r="EA224">
        <v>25</v>
      </c>
      <c r="EB224">
        <v>0</v>
      </c>
      <c r="EC224">
        <v>0</v>
      </c>
      <c r="ED224">
        <v>0</v>
      </c>
      <c r="EE224">
        <v>2</v>
      </c>
      <c r="EF224">
        <v>0</v>
      </c>
      <c r="EG224">
        <v>0</v>
      </c>
      <c r="EH224">
        <v>29</v>
      </c>
      <c r="EI224">
        <v>1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0</v>
      </c>
      <c r="ES224">
        <v>1</v>
      </c>
      <c r="ET224">
        <v>1</v>
      </c>
    </row>
    <row r="225" spans="1:150" ht="12.75">
      <c r="A225">
        <v>220</v>
      </c>
      <c r="B225" t="str">
        <f t="shared" si="42"/>
        <v>061907</v>
      </c>
      <c r="C225" t="str">
        <f t="shared" si="43"/>
        <v>Wola Uhruska</v>
      </c>
      <c r="D225" t="str">
        <f t="shared" si="41"/>
        <v>włodawski</v>
      </c>
      <c r="E225" t="str">
        <f t="shared" si="38"/>
        <v>lubelskie</v>
      </c>
      <c r="F225">
        <v>2</v>
      </c>
      <c r="G225" t="str">
        <f>"Urząd Gminy Wola Uhruska, ul. Parkowa 5, 22-230 Wola Uhruska"</f>
        <v>Urząd Gminy Wola Uhruska, ul. Parkowa 5, 22-230 Wola Uhruska</v>
      </c>
      <c r="H225">
        <v>573</v>
      </c>
      <c r="I225">
        <v>573</v>
      </c>
      <c r="J225">
        <v>0</v>
      </c>
      <c r="K225">
        <v>400</v>
      </c>
      <c r="L225">
        <v>275</v>
      </c>
      <c r="M225">
        <v>125</v>
      </c>
      <c r="N225">
        <v>125</v>
      </c>
      <c r="O225">
        <v>0</v>
      </c>
      <c r="P225">
        <v>0</v>
      </c>
      <c r="Q225">
        <v>9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125</v>
      </c>
      <c r="Z225">
        <v>0</v>
      </c>
      <c r="AA225">
        <v>0</v>
      </c>
      <c r="AB225">
        <v>125</v>
      </c>
      <c r="AC225">
        <v>4</v>
      </c>
      <c r="AD225">
        <v>121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4</v>
      </c>
      <c r="AR225">
        <v>4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4</v>
      </c>
      <c r="BC225">
        <v>1</v>
      </c>
      <c r="BD225">
        <v>1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1</v>
      </c>
      <c r="BO225">
        <v>48</v>
      </c>
      <c r="BP225">
        <v>13</v>
      </c>
      <c r="BQ225">
        <v>23</v>
      </c>
      <c r="BR225">
        <v>3</v>
      </c>
      <c r="BS225">
        <v>3</v>
      </c>
      <c r="BT225">
        <v>1</v>
      </c>
      <c r="BU225">
        <v>0</v>
      </c>
      <c r="BV225">
        <v>0</v>
      </c>
      <c r="BW225">
        <v>2</v>
      </c>
      <c r="BX225">
        <v>2</v>
      </c>
      <c r="BY225">
        <v>1</v>
      </c>
      <c r="BZ225">
        <v>48</v>
      </c>
      <c r="CA225">
        <v>3</v>
      </c>
      <c r="CB225">
        <v>2</v>
      </c>
      <c r="CC225">
        <v>1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3</v>
      </c>
      <c r="CM225">
        <v>1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1</v>
      </c>
      <c r="CT225">
        <v>0</v>
      </c>
      <c r="CU225">
        <v>0</v>
      </c>
      <c r="CV225">
        <v>0</v>
      </c>
      <c r="CW225">
        <v>0</v>
      </c>
      <c r="CX225">
        <v>1</v>
      </c>
      <c r="CY225">
        <v>13</v>
      </c>
      <c r="CZ225">
        <v>7</v>
      </c>
      <c r="DA225">
        <v>1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5</v>
      </c>
      <c r="DJ225">
        <v>13</v>
      </c>
      <c r="DK225">
        <v>20</v>
      </c>
      <c r="DL225">
        <v>4</v>
      </c>
      <c r="DM225">
        <v>0</v>
      </c>
      <c r="DN225">
        <v>0</v>
      </c>
      <c r="DO225">
        <v>0</v>
      </c>
      <c r="DP225">
        <v>16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20</v>
      </c>
      <c r="DW225">
        <v>31</v>
      </c>
      <c r="DX225">
        <v>1</v>
      </c>
      <c r="DY225">
        <v>4</v>
      </c>
      <c r="DZ225">
        <v>0</v>
      </c>
      <c r="EA225">
        <v>23</v>
      </c>
      <c r="EB225">
        <v>2</v>
      </c>
      <c r="EC225">
        <v>0</v>
      </c>
      <c r="ED225">
        <v>1</v>
      </c>
      <c r="EE225">
        <v>0</v>
      </c>
      <c r="EF225">
        <v>0</v>
      </c>
      <c r="EG225">
        <v>0</v>
      </c>
      <c r="EH225">
        <v>31</v>
      </c>
      <c r="EI225">
        <v>0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0</v>
      </c>
      <c r="EQ225">
        <v>0</v>
      </c>
      <c r="ER225">
        <v>0</v>
      </c>
      <c r="ES225">
        <v>0</v>
      </c>
      <c r="ET225">
        <v>0</v>
      </c>
    </row>
    <row r="226" spans="1:150" ht="12.75">
      <c r="A226">
        <v>221</v>
      </c>
      <c r="B226" t="str">
        <f t="shared" si="42"/>
        <v>061907</v>
      </c>
      <c r="C226" t="str">
        <f t="shared" si="43"/>
        <v>Wola Uhruska</v>
      </c>
      <c r="D226" t="str">
        <f t="shared" si="41"/>
        <v>włodawski</v>
      </c>
      <c r="E226" t="str">
        <f t="shared" si="38"/>
        <v>lubelskie</v>
      </c>
      <c r="F226">
        <v>3</v>
      </c>
      <c r="G226" t="str">
        <f>"Gimnazjum im. Jana Pawła II, ul. Gimnazjalna 34, 22-230 Wola Uhruska"</f>
        <v>Gimnazjum im. Jana Pawła II, ul. Gimnazjalna 34, 22-230 Wola Uhruska</v>
      </c>
      <c r="H226">
        <v>506</v>
      </c>
      <c r="I226">
        <v>506</v>
      </c>
      <c r="J226">
        <v>0</v>
      </c>
      <c r="K226">
        <v>359</v>
      </c>
      <c r="L226">
        <v>251</v>
      </c>
      <c r="M226">
        <v>108</v>
      </c>
      <c r="N226">
        <v>108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108</v>
      </c>
      <c r="Z226">
        <v>0</v>
      </c>
      <c r="AA226">
        <v>0</v>
      </c>
      <c r="AB226">
        <v>108</v>
      </c>
      <c r="AC226">
        <v>0</v>
      </c>
      <c r="AD226">
        <v>108</v>
      </c>
      <c r="AE226">
        <v>1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1</v>
      </c>
      <c r="AN226">
        <v>0</v>
      </c>
      <c r="AO226">
        <v>0</v>
      </c>
      <c r="AP226">
        <v>1</v>
      </c>
      <c r="AQ226">
        <v>1</v>
      </c>
      <c r="AR226">
        <v>0</v>
      </c>
      <c r="AS226">
        <v>1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1</v>
      </c>
      <c r="BC226">
        <v>2</v>
      </c>
      <c r="BD226">
        <v>2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2</v>
      </c>
      <c r="BO226">
        <v>48</v>
      </c>
      <c r="BP226">
        <v>7</v>
      </c>
      <c r="BQ226">
        <v>19</v>
      </c>
      <c r="BR226">
        <v>14</v>
      </c>
      <c r="BS226">
        <v>5</v>
      </c>
      <c r="BT226">
        <v>0</v>
      </c>
      <c r="BU226">
        <v>0</v>
      </c>
      <c r="BV226">
        <v>0</v>
      </c>
      <c r="BW226">
        <v>3</v>
      </c>
      <c r="BX226">
        <v>0</v>
      </c>
      <c r="BY226">
        <v>0</v>
      </c>
      <c r="BZ226">
        <v>48</v>
      </c>
      <c r="CA226">
        <v>1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1</v>
      </c>
      <c r="CL226">
        <v>1</v>
      </c>
      <c r="CM226">
        <v>3</v>
      </c>
      <c r="CN226">
        <v>0</v>
      </c>
      <c r="CO226">
        <v>2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1</v>
      </c>
      <c r="CW226">
        <v>0</v>
      </c>
      <c r="CX226">
        <v>3</v>
      </c>
      <c r="CY226">
        <v>4</v>
      </c>
      <c r="CZ226">
        <v>2</v>
      </c>
      <c r="DA226">
        <v>0</v>
      </c>
      <c r="DB226">
        <v>0</v>
      </c>
      <c r="DC226">
        <v>1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1</v>
      </c>
      <c r="DJ226">
        <v>4</v>
      </c>
      <c r="DK226">
        <v>22</v>
      </c>
      <c r="DL226">
        <v>5</v>
      </c>
      <c r="DM226">
        <v>1</v>
      </c>
      <c r="DN226">
        <v>0</v>
      </c>
      <c r="DO226">
        <v>0</v>
      </c>
      <c r="DP226">
        <v>16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22</v>
      </c>
      <c r="DW226">
        <v>26</v>
      </c>
      <c r="DX226">
        <v>0</v>
      </c>
      <c r="DY226">
        <v>1</v>
      </c>
      <c r="DZ226">
        <v>0</v>
      </c>
      <c r="EA226">
        <v>25</v>
      </c>
      <c r="EB226">
        <v>0</v>
      </c>
      <c r="EC226">
        <v>0</v>
      </c>
      <c r="ED226">
        <v>0</v>
      </c>
      <c r="EE226">
        <v>0</v>
      </c>
      <c r="EF226">
        <v>0</v>
      </c>
      <c r="EG226">
        <v>0</v>
      </c>
      <c r="EH226">
        <v>26</v>
      </c>
      <c r="EI226">
        <v>0</v>
      </c>
      <c r="EJ226">
        <v>0</v>
      </c>
      <c r="EK226">
        <v>0</v>
      </c>
      <c r="EL226">
        <v>0</v>
      </c>
      <c r="EM226">
        <v>0</v>
      </c>
      <c r="EN226">
        <v>0</v>
      </c>
      <c r="EO226">
        <v>0</v>
      </c>
      <c r="EP226">
        <v>0</v>
      </c>
      <c r="EQ226">
        <v>0</v>
      </c>
      <c r="ER226">
        <v>0</v>
      </c>
      <c r="ES226">
        <v>0</v>
      </c>
      <c r="ET226">
        <v>0</v>
      </c>
    </row>
    <row r="227" spans="1:150" ht="12.75">
      <c r="A227">
        <v>222</v>
      </c>
      <c r="B227" t="str">
        <f t="shared" si="42"/>
        <v>061907</v>
      </c>
      <c r="C227" t="str">
        <f t="shared" si="43"/>
        <v>Wola Uhruska</v>
      </c>
      <c r="D227" t="str">
        <f t="shared" si="41"/>
        <v>włodawski</v>
      </c>
      <c r="E227" t="str">
        <f t="shared" si="38"/>
        <v>lubelskie</v>
      </c>
      <c r="F227">
        <v>4</v>
      </c>
      <c r="G227" t="str">
        <f>"Szkoła Podstawowa im. J.I. Kraszewskiego, ul. Szkolna 2, 22-230 Wola Uhruska"</f>
        <v>Szkoła Podstawowa im. J.I. Kraszewskiego, ul. Szkolna 2, 22-230 Wola Uhruska</v>
      </c>
      <c r="H227">
        <v>711</v>
      </c>
      <c r="I227">
        <v>711</v>
      </c>
      <c r="J227">
        <v>0</v>
      </c>
      <c r="K227">
        <v>500</v>
      </c>
      <c r="L227">
        <v>352</v>
      </c>
      <c r="M227">
        <v>148</v>
      </c>
      <c r="N227">
        <v>148</v>
      </c>
      <c r="O227">
        <v>0</v>
      </c>
      <c r="P227">
        <v>0</v>
      </c>
      <c r="Q227">
        <v>2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148</v>
      </c>
      <c r="Z227">
        <v>0</v>
      </c>
      <c r="AA227">
        <v>0</v>
      </c>
      <c r="AB227">
        <v>148</v>
      </c>
      <c r="AC227">
        <v>2</v>
      </c>
      <c r="AD227">
        <v>146</v>
      </c>
      <c r="AE227">
        <v>1</v>
      </c>
      <c r="AF227">
        <v>1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1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4</v>
      </c>
      <c r="BD227">
        <v>1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1</v>
      </c>
      <c r="BL227">
        <v>2</v>
      </c>
      <c r="BM227">
        <v>0</v>
      </c>
      <c r="BN227">
        <v>4</v>
      </c>
      <c r="BO227">
        <v>59</v>
      </c>
      <c r="BP227">
        <v>12</v>
      </c>
      <c r="BQ227">
        <v>27</v>
      </c>
      <c r="BR227">
        <v>8</v>
      </c>
      <c r="BS227">
        <v>8</v>
      </c>
      <c r="BT227">
        <v>0</v>
      </c>
      <c r="BU227">
        <v>0</v>
      </c>
      <c r="BV227">
        <v>1</v>
      </c>
      <c r="BW227">
        <v>1</v>
      </c>
      <c r="BX227">
        <v>1</v>
      </c>
      <c r="BY227">
        <v>1</v>
      </c>
      <c r="BZ227">
        <v>59</v>
      </c>
      <c r="CA227">
        <v>1</v>
      </c>
      <c r="CB227">
        <v>0</v>
      </c>
      <c r="CC227">
        <v>1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1</v>
      </c>
      <c r="CM227">
        <v>3</v>
      </c>
      <c r="CN227">
        <v>1</v>
      </c>
      <c r="CO227">
        <v>0</v>
      </c>
      <c r="CP227">
        <v>0</v>
      </c>
      <c r="CQ227">
        <v>1</v>
      </c>
      <c r="CR227">
        <v>0</v>
      </c>
      <c r="CS227">
        <v>0</v>
      </c>
      <c r="CT227">
        <v>1</v>
      </c>
      <c r="CU227">
        <v>0</v>
      </c>
      <c r="CV227">
        <v>0</v>
      </c>
      <c r="CW227">
        <v>0</v>
      </c>
      <c r="CX227">
        <v>3</v>
      </c>
      <c r="CY227">
        <v>9</v>
      </c>
      <c r="CZ227">
        <v>6</v>
      </c>
      <c r="DA227">
        <v>1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2</v>
      </c>
      <c r="DJ227">
        <v>9</v>
      </c>
      <c r="DK227">
        <v>26</v>
      </c>
      <c r="DL227">
        <v>3</v>
      </c>
      <c r="DM227">
        <v>1</v>
      </c>
      <c r="DN227">
        <v>0</v>
      </c>
      <c r="DO227">
        <v>0</v>
      </c>
      <c r="DP227">
        <v>22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26</v>
      </c>
      <c r="DW227">
        <v>42</v>
      </c>
      <c r="DX227">
        <v>1</v>
      </c>
      <c r="DY227">
        <v>3</v>
      </c>
      <c r="DZ227">
        <v>1</v>
      </c>
      <c r="EA227">
        <v>36</v>
      </c>
      <c r="EB227">
        <v>0</v>
      </c>
      <c r="EC227">
        <v>0</v>
      </c>
      <c r="ED227">
        <v>0</v>
      </c>
      <c r="EE227">
        <v>1</v>
      </c>
      <c r="EF227">
        <v>0</v>
      </c>
      <c r="EG227">
        <v>0</v>
      </c>
      <c r="EH227">
        <v>42</v>
      </c>
      <c r="EI227">
        <v>1</v>
      </c>
      <c r="EJ227">
        <v>1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0</v>
      </c>
      <c r="EQ227">
        <v>0</v>
      </c>
      <c r="ER227">
        <v>0</v>
      </c>
      <c r="ES227">
        <v>0</v>
      </c>
      <c r="ET227">
        <v>1</v>
      </c>
    </row>
    <row r="228" spans="1:150" ht="12.75">
      <c r="A228">
        <v>223</v>
      </c>
      <c r="B228" t="str">
        <f t="shared" si="42"/>
        <v>061907</v>
      </c>
      <c r="C228" t="str">
        <f t="shared" si="43"/>
        <v>Wola Uhruska</v>
      </c>
      <c r="D228" t="str">
        <f t="shared" si="41"/>
        <v>włodawski</v>
      </c>
      <c r="E228" t="str">
        <f t="shared" si="38"/>
        <v>lubelskie</v>
      </c>
      <c r="F228">
        <v>5</v>
      </c>
      <c r="G228" t="str">
        <f>"Świetlica, Stulno 89, 22-230 Wola Uhruska"</f>
        <v>Świetlica, Stulno 89, 22-230 Wola Uhruska</v>
      </c>
      <c r="H228">
        <v>519</v>
      </c>
      <c r="I228">
        <v>519</v>
      </c>
      <c r="J228">
        <v>0</v>
      </c>
      <c r="K228">
        <v>361</v>
      </c>
      <c r="L228">
        <v>296</v>
      </c>
      <c r="M228">
        <v>65</v>
      </c>
      <c r="N228">
        <v>65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65</v>
      </c>
      <c r="Z228">
        <v>0</v>
      </c>
      <c r="AA228">
        <v>0</v>
      </c>
      <c r="AB228">
        <v>65</v>
      </c>
      <c r="AC228">
        <v>0</v>
      </c>
      <c r="AD228">
        <v>65</v>
      </c>
      <c r="AE228">
        <v>4</v>
      </c>
      <c r="AF228">
        <v>3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1</v>
      </c>
      <c r="AP228">
        <v>4</v>
      </c>
      <c r="AQ228">
        <v>1</v>
      </c>
      <c r="AR228">
        <v>1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1</v>
      </c>
      <c r="BC228">
        <v>26</v>
      </c>
      <c r="BD228">
        <v>10</v>
      </c>
      <c r="BE228">
        <v>6</v>
      </c>
      <c r="BF228">
        <v>7</v>
      </c>
      <c r="BG228">
        <v>2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1</v>
      </c>
      <c r="BN228">
        <v>26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2</v>
      </c>
      <c r="CZ228">
        <v>1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1</v>
      </c>
      <c r="DJ228">
        <v>2</v>
      </c>
      <c r="DK228">
        <v>8</v>
      </c>
      <c r="DL228">
        <v>2</v>
      </c>
      <c r="DM228">
        <v>0</v>
      </c>
      <c r="DN228">
        <v>1</v>
      </c>
      <c r="DO228">
        <v>0</v>
      </c>
      <c r="DP228">
        <v>5</v>
      </c>
      <c r="DQ228">
        <v>0</v>
      </c>
      <c r="DR228">
        <v>0</v>
      </c>
      <c r="DS228">
        <v>0</v>
      </c>
      <c r="DT228">
        <v>0</v>
      </c>
      <c r="DU228">
        <v>0</v>
      </c>
      <c r="DV228">
        <v>8</v>
      </c>
      <c r="DW228">
        <v>24</v>
      </c>
      <c r="DX228">
        <v>0</v>
      </c>
      <c r="DY228">
        <v>7</v>
      </c>
      <c r="DZ228">
        <v>2</v>
      </c>
      <c r="EA228">
        <v>13</v>
      </c>
      <c r="EB228">
        <v>0</v>
      </c>
      <c r="EC228">
        <v>0</v>
      </c>
      <c r="ED228">
        <v>1</v>
      </c>
      <c r="EE228">
        <v>0</v>
      </c>
      <c r="EF228">
        <v>0</v>
      </c>
      <c r="EG228">
        <v>1</v>
      </c>
      <c r="EH228">
        <v>24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0</v>
      </c>
      <c r="ES228">
        <v>0</v>
      </c>
      <c r="ET228">
        <v>0</v>
      </c>
    </row>
    <row r="229" spans="1:150" ht="12.75">
      <c r="A229">
        <v>224</v>
      </c>
      <c r="B229" t="str">
        <f t="shared" si="42"/>
        <v>061907</v>
      </c>
      <c r="C229" t="str">
        <f t="shared" si="43"/>
        <v>Wola Uhruska</v>
      </c>
      <c r="D229" t="str">
        <f t="shared" si="41"/>
        <v>włodawski</v>
      </c>
      <c r="E229" t="str">
        <f t="shared" si="38"/>
        <v>lubelskie</v>
      </c>
      <c r="F229">
        <v>6</v>
      </c>
      <c r="G229" t="str">
        <f>"Świetlica, Piaski 27, 22-230 Wola Uhruska"</f>
        <v>Świetlica, Piaski 27, 22-230 Wola Uhruska</v>
      </c>
      <c r="H229">
        <v>407</v>
      </c>
      <c r="I229">
        <v>407</v>
      </c>
      <c r="J229">
        <v>0</v>
      </c>
      <c r="K229">
        <v>290</v>
      </c>
      <c r="L229">
        <v>202</v>
      </c>
      <c r="M229">
        <v>88</v>
      </c>
      <c r="N229">
        <v>88</v>
      </c>
      <c r="O229">
        <v>0</v>
      </c>
      <c r="P229">
        <v>0</v>
      </c>
      <c r="Q229">
        <v>1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88</v>
      </c>
      <c r="Z229">
        <v>0</v>
      </c>
      <c r="AA229">
        <v>0</v>
      </c>
      <c r="AB229">
        <v>88</v>
      </c>
      <c r="AC229">
        <v>2</v>
      </c>
      <c r="AD229">
        <v>86</v>
      </c>
      <c r="AE229">
        <v>2</v>
      </c>
      <c r="AF229">
        <v>2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2</v>
      </c>
      <c r="AQ229">
        <v>1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1</v>
      </c>
      <c r="AX229">
        <v>0</v>
      </c>
      <c r="AY229">
        <v>0</v>
      </c>
      <c r="AZ229">
        <v>0</v>
      </c>
      <c r="BA229">
        <v>0</v>
      </c>
      <c r="BB229">
        <v>1</v>
      </c>
      <c r="BC229">
        <v>5</v>
      </c>
      <c r="BD229">
        <v>2</v>
      </c>
      <c r="BE229">
        <v>0</v>
      </c>
      <c r="BF229">
        <v>0</v>
      </c>
      <c r="BG229">
        <v>0</v>
      </c>
      <c r="BH229">
        <v>1</v>
      </c>
      <c r="BI229">
        <v>0</v>
      </c>
      <c r="BJ229">
        <v>0</v>
      </c>
      <c r="BK229">
        <v>2</v>
      </c>
      <c r="BL229">
        <v>0</v>
      </c>
      <c r="BM229">
        <v>0</v>
      </c>
      <c r="BN229">
        <v>5</v>
      </c>
      <c r="BO229">
        <v>49</v>
      </c>
      <c r="BP229">
        <v>5</v>
      </c>
      <c r="BQ229">
        <v>25</v>
      </c>
      <c r="BR229">
        <v>10</v>
      </c>
      <c r="BS229">
        <v>6</v>
      </c>
      <c r="BT229">
        <v>0</v>
      </c>
      <c r="BU229">
        <v>0</v>
      </c>
      <c r="BV229">
        <v>0</v>
      </c>
      <c r="BW229">
        <v>2</v>
      </c>
      <c r="BX229">
        <v>0</v>
      </c>
      <c r="BY229">
        <v>1</v>
      </c>
      <c r="BZ229">
        <v>49</v>
      </c>
      <c r="CA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7</v>
      </c>
      <c r="DL229">
        <v>2</v>
      </c>
      <c r="DM229">
        <v>0</v>
      </c>
      <c r="DN229">
        <v>0</v>
      </c>
      <c r="DO229">
        <v>0</v>
      </c>
      <c r="DP229">
        <v>5</v>
      </c>
      <c r="DQ229">
        <v>0</v>
      </c>
      <c r="DR229">
        <v>0</v>
      </c>
      <c r="DS229">
        <v>0</v>
      </c>
      <c r="DT229">
        <v>0</v>
      </c>
      <c r="DU229">
        <v>0</v>
      </c>
      <c r="DV229">
        <v>7</v>
      </c>
      <c r="DW229">
        <v>21</v>
      </c>
      <c r="DX229">
        <v>0</v>
      </c>
      <c r="DY229">
        <v>1</v>
      </c>
      <c r="DZ229">
        <v>0</v>
      </c>
      <c r="EA229">
        <v>19</v>
      </c>
      <c r="EB229">
        <v>0</v>
      </c>
      <c r="EC229">
        <v>0</v>
      </c>
      <c r="ED229">
        <v>0</v>
      </c>
      <c r="EE229">
        <v>1</v>
      </c>
      <c r="EF229">
        <v>0</v>
      </c>
      <c r="EG229">
        <v>0</v>
      </c>
      <c r="EH229">
        <v>21</v>
      </c>
      <c r="EI229">
        <v>1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0</v>
      </c>
      <c r="ES229">
        <v>1</v>
      </c>
      <c r="ET229">
        <v>1</v>
      </c>
    </row>
    <row r="230" spans="1:150" ht="12.75">
      <c r="A230">
        <v>225</v>
      </c>
      <c r="B230" t="str">
        <f aca="true" t="shared" si="44" ref="B230:B236">"061908"</f>
        <v>061908</v>
      </c>
      <c r="C230" t="str">
        <f aca="true" t="shared" si="45" ref="C230:C236">"Wyryki"</f>
        <v>Wyryki</v>
      </c>
      <c r="D230" t="str">
        <f t="shared" si="41"/>
        <v>włodawski</v>
      </c>
      <c r="E230" t="str">
        <f t="shared" si="38"/>
        <v>lubelskie</v>
      </c>
      <c r="F230">
        <v>1</v>
      </c>
      <c r="G230" t="str">
        <f>"Urząd Gminy w Wyrykach, Wyryki-Połód 154, 22-205 Wyryki"</f>
        <v>Urząd Gminy w Wyrykach, Wyryki-Połód 154, 22-205 Wyryki</v>
      </c>
      <c r="H230">
        <v>875</v>
      </c>
      <c r="I230">
        <v>875</v>
      </c>
      <c r="J230">
        <v>0</v>
      </c>
      <c r="K230">
        <v>610</v>
      </c>
      <c r="L230">
        <v>450</v>
      </c>
      <c r="M230">
        <v>160</v>
      </c>
      <c r="N230">
        <v>160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160</v>
      </c>
      <c r="Z230">
        <v>0</v>
      </c>
      <c r="AA230">
        <v>0</v>
      </c>
      <c r="AB230">
        <v>160</v>
      </c>
      <c r="AC230">
        <v>5</v>
      </c>
      <c r="AD230">
        <v>155</v>
      </c>
      <c r="AE230">
        <v>2</v>
      </c>
      <c r="AF230">
        <v>0</v>
      </c>
      <c r="AG230">
        <v>0</v>
      </c>
      <c r="AH230">
        <v>1</v>
      </c>
      <c r="AI230">
        <v>0</v>
      </c>
      <c r="AJ230">
        <v>0</v>
      </c>
      <c r="AK230">
        <v>0</v>
      </c>
      <c r="AL230">
        <v>1</v>
      </c>
      <c r="AM230">
        <v>0</v>
      </c>
      <c r="AN230">
        <v>0</v>
      </c>
      <c r="AO230">
        <v>0</v>
      </c>
      <c r="AP230">
        <v>2</v>
      </c>
      <c r="AQ230">
        <v>7</v>
      </c>
      <c r="AR230">
        <v>4</v>
      </c>
      <c r="AS230">
        <v>1</v>
      </c>
      <c r="AT230">
        <v>1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1</v>
      </c>
      <c r="BB230">
        <v>7</v>
      </c>
      <c r="BC230">
        <v>7</v>
      </c>
      <c r="BD230">
        <v>4</v>
      </c>
      <c r="BE230">
        <v>0</v>
      </c>
      <c r="BF230">
        <v>2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1</v>
      </c>
      <c r="BM230">
        <v>0</v>
      </c>
      <c r="BN230">
        <v>7</v>
      </c>
      <c r="BO230">
        <v>70</v>
      </c>
      <c r="BP230">
        <v>11</v>
      </c>
      <c r="BQ230">
        <v>33</v>
      </c>
      <c r="BR230">
        <v>15</v>
      </c>
      <c r="BS230">
        <v>9</v>
      </c>
      <c r="BT230">
        <v>0</v>
      </c>
      <c r="BU230">
        <v>1</v>
      </c>
      <c r="BV230">
        <v>1</v>
      </c>
      <c r="BW230">
        <v>0</v>
      </c>
      <c r="BX230">
        <v>0</v>
      </c>
      <c r="BY230">
        <v>0</v>
      </c>
      <c r="BZ230">
        <v>70</v>
      </c>
      <c r="CA230">
        <v>2</v>
      </c>
      <c r="CB230">
        <v>1</v>
      </c>
      <c r="CC230">
        <v>1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2</v>
      </c>
      <c r="CM230">
        <v>7</v>
      </c>
      <c r="CN230">
        <v>4</v>
      </c>
      <c r="CO230">
        <v>0</v>
      </c>
      <c r="CP230">
        <v>0</v>
      </c>
      <c r="CQ230">
        <v>0</v>
      </c>
      <c r="CR230">
        <v>0</v>
      </c>
      <c r="CS230">
        <v>3</v>
      </c>
      <c r="CT230">
        <v>0</v>
      </c>
      <c r="CU230">
        <v>0</v>
      </c>
      <c r="CV230">
        <v>0</v>
      </c>
      <c r="CW230">
        <v>0</v>
      </c>
      <c r="CX230">
        <v>7</v>
      </c>
      <c r="CY230">
        <v>6</v>
      </c>
      <c r="CZ230">
        <v>2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1</v>
      </c>
      <c r="DG230">
        <v>0</v>
      </c>
      <c r="DH230">
        <v>0</v>
      </c>
      <c r="DI230">
        <v>3</v>
      </c>
      <c r="DJ230">
        <v>6</v>
      </c>
      <c r="DK230">
        <v>18</v>
      </c>
      <c r="DL230">
        <v>5</v>
      </c>
      <c r="DM230">
        <v>0</v>
      </c>
      <c r="DN230">
        <v>0</v>
      </c>
      <c r="DO230">
        <v>0</v>
      </c>
      <c r="DP230">
        <v>13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18</v>
      </c>
      <c r="DW230">
        <v>36</v>
      </c>
      <c r="DX230">
        <v>3</v>
      </c>
      <c r="DY230">
        <v>13</v>
      </c>
      <c r="DZ230">
        <v>1</v>
      </c>
      <c r="EA230">
        <v>18</v>
      </c>
      <c r="EB230">
        <v>0</v>
      </c>
      <c r="EC230">
        <v>0</v>
      </c>
      <c r="ED230">
        <v>1</v>
      </c>
      <c r="EE230">
        <v>0</v>
      </c>
      <c r="EF230">
        <v>0</v>
      </c>
      <c r="EG230">
        <v>0</v>
      </c>
      <c r="EH230">
        <v>36</v>
      </c>
      <c r="EI230">
        <v>0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0</v>
      </c>
      <c r="ES230">
        <v>0</v>
      </c>
      <c r="ET230">
        <v>0</v>
      </c>
    </row>
    <row r="231" spans="1:150" ht="12.75">
      <c r="A231">
        <v>226</v>
      </c>
      <c r="B231" t="str">
        <f t="shared" si="44"/>
        <v>061908</v>
      </c>
      <c r="C231" t="str">
        <f t="shared" si="45"/>
        <v>Wyryki</v>
      </c>
      <c r="D231" t="str">
        <f t="shared" si="41"/>
        <v>włodawski</v>
      </c>
      <c r="E231" t="str">
        <f t="shared" si="38"/>
        <v>lubelskie</v>
      </c>
      <c r="F231">
        <v>2</v>
      </c>
      <c r="G231" t="str">
        <f>"Swietlica wiejska w Suchawie, Suchawa 8B, 22-200 Włodawa"</f>
        <v>Swietlica wiejska w Suchawie, Suchawa 8B, 22-200 Włodawa</v>
      </c>
      <c r="H231">
        <v>260</v>
      </c>
      <c r="I231">
        <v>260</v>
      </c>
      <c r="J231">
        <v>0</v>
      </c>
      <c r="K231">
        <v>180</v>
      </c>
      <c r="L231">
        <v>135</v>
      </c>
      <c r="M231">
        <v>45</v>
      </c>
      <c r="N231">
        <v>45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45</v>
      </c>
      <c r="Z231">
        <v>0</v>
      </c>
      <c r="AA231">
        <v>0</v>
      </c>
      <c r="AB231">
        <v>45</v>
      </c>
      <c r="AC231">
        <v>5</v>
      </c>
      <c r="AD231">
        <v>40</v>
      </c>
      <c r="AE231">
        <v>1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1</v>
      </c>
      <c r="AP231">
        <v>1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3</v>
      </c>
      <c r="BD231">
        <v>3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3</v>
      </c>
      <c r="BO231">
        <v>7</v>
      </c>
      <c r="BP231">
        <v>2</v>
      </c>
      <c r="BQ231">
        <v>1</v>
      </c>
      <c r="BR231">
        <v>1</v>
      </c>
      <c r="BS231">
        <v>2</v>
      </c>
      <c r="BT231">
        <v>0</v>
      </c>
      <c r="BU231">
        <v>0</v>
      </c>
      <c r="BV231">
        <v>0</v>
      </c>
      <c r="BW231">
        <v>1</v>
      </c>
      <c r="BX231">
        <v>0</v>
      </c>
      <c r="BY231">
        <v>0</v>
      </c>
      <c r="BZ231">
        <v>7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1</v>
      </c>
      <c r="CN231">
        <v>1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1</v>
      </c>
      <c r="CY231">
        <v>4</v>
      </c>
      <c r="CZ231">
        <v>2</v>
      </c>
      <c r="DA231">
        <v>0</v>
      </c>
      <c r="DB231">
        <v>0</v>
      </c>
      <c r="DC231">
        <v>0</v>
      </c>
      <c r="DD231">
        <v>1</v>
      </c>
      <c r="DE231">
        <v>0</v>
      </c>
      <c r="DF231">
        <v>0</v>
      </c>
      <c r="DG231">
        <v>0</v>
      </c>
      <c r="DH231">
        <v>0</v>
      </c>
      <c r="DI231">
        <v>1</v>
      </c>
      <c r="DJ231">
        <v>4</v>
      </c>
      <c r="DK231">
        <v>11</v>
      </c>
      <c r="DL231">
        <v>1</v>
      </c>
      <c r="DM231">
        <v>3</v>
      </c>
      <c r="DN231">
        <v>0</v>
      </c>
      <c r="DO231">
        <v>0</v>
      </c>
      <c r="DP231">
        <v>7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11</v>
      </c>
      <c r="DW231">
        <v>13</v>
      </c>
      <c r="DX231">
        <v>1</v>
      </c>
      <c r="DY231">
        <v>0</v>
      </c>
      <c r="DZ231">
        <v>0</v>
      </c>
      <c r="EA231">
        <v>12</v>
      </c>
      <c r="EB231">
        <v>0</v>
      </c>
      <c r="EC231">
        <v>0</v>
      </c>
      <c r="ED231">
        <v>0</v>
      </c>
      <c r="EE231">
        <v>0</v>
      </c>
      <c r="EF231">
        <v>0</v>
      </c>
      <c r="EG231">
        <v>0</v>
      </c>
      <c r="EH231">
        <v>13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0</v>
      </c>
      <c r="EO231">
        <v>0</v>
      </c>
      <c r="EP231">
        <v>0</v>
      </c>
      <c r="EQ231">
        <v>0</v>
      </c>
      <c r="ER231">
        <v>0</v>
      </c>
      <c r="ES231">
        <v>0</v>
      </c>
      <c r="ET231">
        <v>0</v>
      </c>
    </row>
    <row r="232" spans="1:150" ht="12.75">
      <c r="A232">
        <v>227</v>
      </c>
      <c r="B232" t="str">
        <f t="shared" si="44"/>
        <v>061908</v>
      </c>
      <c r="C232" t="str">
        <f t="shared" si="45"/>
        <v>Wyryki</v>
      </c>
      <c r="D232" t="str">
        <f t="shared" si="41"/>
        <v>włodawski</v>
      </c>
      <c r="E232" t="str">
        <f t="shared" si="38"/>
        <v>lubelskie</v>
      </c>
      <c r="F232">
        <v>3</v>
      </c>
      <c r="G232" t="str">
        <f>"Świetlica wiejska w Lubieniu, Lubień 99A, 22-205 Wyryki"</f>
        <v>Świetlica wiejska w Lubieniu, Lubień 99A, 22-205 Wyryki</v>
      </c>
      <c r="H232">
        <v>190</v>
      </c>
      <c r="I232">
        <v>190</v>
      </c>
      <c r="J232">
        <v>0</v>
      </c>
      <c r="K232">
        <v>140</v>
      </c>
      <c r="L232">
        <v>110</v>
      </c>
      <c r="M232">
        <v>30</v>
      </c>
      <c r="N232">
        <v>30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30</v>
      </c>
      <c r="Z232">
        <v>0</v>
      </c>
      <c r="AA232">
        <v>0</v>
      </c>
      <c r="AB232">
        <v>30</v>
      </c>
      <c r="AC232">
        <v>4</v>
      </c>
      <c r="AD232">
        <v>26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3</v>
      </c>
      <c r="AR232">
        <v>1</v>
      </c>
      <c r="AS232">
        <v>1</v>
      </c>
      <c r="AT232">
        <v>0</v>
      </c>
      <c r="AU232">
        <v>0</v>
      </c>
      <c r="AV232">
        <v>0</v>
      </c>
      <c r="AW232">
        <v>1</v>
      </c>
      <c r="AX232">
        <v>0</v>
      </c>
      <c r="AY232">
        <v>0</v>
      </c>
      <c r="AZ232">
        <v>0</v>
      </c>
      <c r="BA232">
        <v>0</v>
      </c>
      <c r="BB232">
        <v>3</v>
      </c>
      <c r="BC232">
        <v>4</v>
      </c>
      <c r="BD232">
        <v>0</v>
      </c>
      <c r="BE232">
        <v>0</v>
      </c>
      <c r="BF232">
        <v>0</v>
      </c>
      <c r="BG232">
        <v>0</v>
      </c>
      <c r="BH232">
        <v>1</v>
      </c>
      <c r="BI232">
        <v>0</v>
      </c>
      <c r="BJ232">
        <v>0</v>
      </c>
      <c r="BK232">
        <v>0</v>
      </c>
      <c r="BL232">
        <v>3</v>
      </c>
      <c r="BM232">
        <v>0</v>
      </c>
      <c r="BN232">
        <v>4</v>
      </c>
      <c r="BO232">
        <v>11</v>
      </c>
      <c r="BP232">
        <v>2</v>
      </c>
      <c r="BQ232">
        <v>2</v>
      </c>
      <c r="BR232">
        <v>3</v>
      </c>
      <c r="BS232">
        <v>2</v>
      </c>
      <c r="BT232">
        <v>0</v>
      </c>
      <c r="BU232">
        <v>0</v>
      </c>
      <c r="BV232">
        <v>0</v>
      </c>
      <c r="BW232">
        <v>1</v>
      </c>
      <c r="BX232">
        <v>0</v>
      </c>
      <c r="BY232">
        <v>1</v>
      </c>
      <c r="BZ232">
        <v>11</v>
      </c>
      <c r="CA232">
        <v>1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1</v>
      </c>
      <c r="CK232">
        <v>0</v>
      </c>
      <c r="CL232">
        <v>1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1</v>
      </c>
      <c r="CZ232">
        <v>1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1</v>
      </c>
      <c r="DK232">
        <v>2</v>
      </c>
      <c r="DL232">
        <v>0</v>
      </c>
      <c r="DM232">
        <v>0</v>
      </c>
      <c r="DN232">
        <v>0</v>
      </c>
      <c r="DO232">
        <v>0</v>
      </c>
      <c r="DP232">
        <v>2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2</v>
      </c>
      <c r="DW232">
        <v>4</v>
      </c>
      <c r="DX232">
        <v>0</v>
      </c>
      <c r="DY232">
        <v>0</v>
      </c>
      <c r="DZ232">
        <v>0</v>
      </c>
      <c r="EA232">
        <v>4</v>
      </c>
      <c r="EB232">
        <v>0</v>
      </c>
      <c r="EC232">
        <v>0</v>
      </c>
      <c r="ED232">
        <v>0</v>
      </c>
      <c r="EE232">
        <v>0</v>
      </c>
      <c r="EF232">
        <v>0</v>
      </c>
      <c r="EG232">
        <v>0</v>
      </c>
      <c r="EH232">
        <v>4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0</v>
      </c>
      <c r="ES232">
        <v>0</v>
      </c>
      <c r="ET232">
        <v>0</v>
      </c>
    </row>
    <row r="233" spans="1:150" ht="12.75">
      <c r="A233">
        <v>228</v>
      </c>
      <c r="B233" t="str">
        <f t="shared" si="44"/>
        <v>061908</v>
      </c>
      <c r="C233" t="str">
        <f t="shared" si="45"/>
        <v>Wyryki</v>
      </c>
      <c r="D233" t="str">
        <f t="shared" si="41"/>
        <v>włodawski</v>
      </c>
      <c r="E233" t="str">
        <f t="shared" si="38"/>
        <v>lubelskie</v>
      </c>
      <c r="F233">
        <v>4</v>
      </c>
      <c r="G233" t="str">
        <f>"Filia Gminnej Biblioteki Publicznej w Horostycie, Horostyta 51, 22-205 Wyryki"</f>
        <v>Filia Gminnej Biblioteki Publicznej w Horostycie, Horostyta 51, 22-205 Wyryki</v>
      </c>
      <c r="H233">
        <v>313</v>
      </c>
      <c r="I233">
        <v>313</v>
      </c>
      <c r="J233">
        <v>0</v>
      </c>
      <c r="K233">
        <v>210</v>
      </c>
      <c r="L233">
        <v>159</v>
      </c>
      <c r="M233">
        <v>51</v>
      </c>
      <c r="N233">
        <v>51</v>
      </c>
      <c r="O233">
        <v>0</v>
      </c>
      <c r="P233">
        <v>0</v>
      </c>
      <c r="Q233">
        <v>1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51</v>
      </c>
      <c r="Z233">
        <v>0</v>
      </c>
      <c r="AA233">
        <v>0</v>
      </c>
      <c r="AB233">
        <v>51</v>
      </c>
      <c r="AC233">
        <v>2</v>
      </c>
      <c r="AD233">
        <v>49</v>
      </c>
      <c r="AE233">
        <v>1</v>
      </c>
      <c r="AF233">
        <v>1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1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7</v>
      </c>
      <c r="BD233">
        <v>3</v>
      </c>
      <c r="BE233">
        <v>2</v>
      </c>
      <c r="BF233">
        <v>0</v>
      </c>
      <c r="BG233">
        <v>0</v>
      </c>
      <c r="BH233">
        <v>1</v>
      </c>
      <c r="BI233">
        <v>1</v>
      </c>
      <c r="BJ233">
        <v>0</v>
      </c>
      <c r="BK233">
        <v>0</v>
      </c>
      <c r="BL233">
        <v>0</v>
      </c>
      <c r="BM233">
        <v>0</v>
      </c>
      <c r="BN233">
        <v>7</v>
      </c>
      <c r="BO233">
        <v>8</v>
      </c>
      <c r="BP233">
        <v>3</v>
      </c>
      <c r="BQ233">
        <v>4</v>
      </c>
      <c r="BR233">
        <v>0</v>
      </c>
      <c r="BS233">
        <v>1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8</v>
      </c>
      <c r="CA233">
        <v>2</v>
      </c>
      <c r="CB233">
        <v>0</v>
      </c>
      <c r="CC233">
        <v>2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2</v>
      </c>
      <c r="CM233">
        <v>1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1</v>
      </c>
      <c r="CU233">
        <v>0</v>
      </c>
      <c r="CV233">
        <v>0</v>
      </c>
      <c r="CW233">
        <v>0</v>
      </c>
      <c r="CX233">
        <v>1</v>
      </c>
      <c r="CY233">
        <v>1</v>
      </c>
      <c r="CZ233">
        <v>0</v>
      </c>
      <c r="DA233">
        <v>0</v>
      </c>
      <c r="DB233">
        <v>1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1</v>
      </c>
      <c r="DK233">
        <v>11</v>
      </c>
      <c r="DL233">
        <v>4</v>
      </c>
      <c r="DM233">
        <v>0</v>
      </c>
      <c r="DN233">
        <v>0</v>
      </c>
      <c r="DO233">
        <v>0</v>
      </c>
      <c r="DP233">
        <v>4</v>
      </c>
      <c r="DQ233">
        <v>0</v>
      </c>
      <c r="DR233">
        <v>0</v>
      </c>
      <c r="DS233">
        <v>3</v>
      </c>
      <c r="DT233">
        <v>0</v>
      </c>
      <c r="DU233">
        <v>0</v>
      </c>
      <c r="DV233">
        <v>11</v>
      </c>
      <c r="DW233">
        <v>17</v>
      </c>
      <c r="DX233">
        <v>0</v>
      </c>
      <c r="DY233">
        <v>8</v>
      </c>
      <c r="DZ233">
        <v>0</v>
      </c>
      <c r="EA233">
        <v>9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17</v>
      </c>
      <c r="EI233">
        <v>1</v>
      </c>
      <c r="EJ233">
        <v>0</v>
      </c>
      <c r="EK233">
        <v>0</v>
      </c>
      <c r="EL233">
        <v>0</v>
      </c>
      <c r="EM233">
        <v>1</v>
      </c>
      <c r="EN233">
        <v>0</v>
      </c>
      <c r="EO233">
        <v>0</v>
      </c>
      <c r="EP233">
        <v>0</v>
      </c>
      <c r="EQ233">
        <v>0</v>
      </c>
      <c r="ER233">
        <v>0</v>
      </c>
      <c r="ES233">
        <v>0</v>
      </c>
      <c r="ET233">
        <v>1</v>
      </c>
    </row>
    <row r="234" spans="1:150" ht="12.75">
      <c r="A234">
        <v>229</v>
      </c>
      <c r="B234" t="str">
        <f t="shared" si="44"/>
        <v>061908</v>
      </c>
      <c r="C234" t="str">
        <f t="shared" si="45"/>
        <v>Wyryki</v>
      </c>
      <c r="D234" t="str">
        <f t="shared" si="41"/>
        <v>włodawski</v>
      </c>
      <c r="E234" t="str">
        <f t="shared" si="38"/>
        <v>lubelskie</v>
      </c>
      <c r="F234">
        <v>5</v>
      </c>
      <c r="G234" t="str">
        <f>"Szkoła Podstawowa w Kaplonosach, Kaplonosy 73, 22-205 Wyryki"</f>
        <v>Szkoła Podstawowa w Kaplonosach, Kaplonosy 73, 22-205 Wyryki</v>
      </c>
      <c r="H234">
        <v>345</v>
      </c>
      <c r="I234">
        <v>345</v>
      </c>
      <c r="J234">
        <v>0</v>
      </c>
      <c r="K234">
        <v>240</v>
      </c>
      <c r="L234">
        <v>160</v>
      </c>
      <c r="M234">
        <v>80</v>
      </c>
      <c r="N234">
        <v>80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80</v>
      </c>
      <c r="Z234">
        <v>0</v>
      </c>
      <c r="AA234">
        <v>0</v>
      </c>
      <c r="AB234">
        <v>80</v>
      </c>
      <c r="AC234">
        <v>7</v>
      </c>
      <c r="AD234">
        <v>73</v>
      </c>
      <c r="AE234">
        <v>1</v>
      </c>
      <c r="AF234">
        <v>0</v>
      </c>
      <c r="AG234">
        <v>0</v>
      </c>
      <c r="AH234">
        <v>1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1</v>
      </c>
      <c r="AQ234">
        <v>1</v>
      </c>
      <c r="AR234">
        <v>1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1</v>
      </c>
      <c r="BC234">
        <v>3</v>
      </c>
      <c r="BD234">
        <v>1</v>
      </c>
      <c r="BE234">
        <v>0</v>
      </c>
      <c r="BF234">
        <v>0</v>
      </c>
      <c r="BG234">
        <v>0</v>
      </c>
      <c r="BH234">
        <v>0</v>
      </c>
      <c r="BI234">
        <v>1</v>
      </c>
      <c r="BJ234">
        <v>0</v>
      </c>
      <c r="BK234">
        <v>0</v>
      </c>
      <c r="BL234">
        <v>1</v>
      </c>
      <c r="BM234">
        <v>0</v>
      </c>
      <c r="BN234">
        <v>3</v>
      </c>
      <c r="BO234">
        <v>10</v>
      </c>
      <c r="BP234">
        <v>3</v>
      </c>
      <c r="BQ234">
        <v>3</v>
      </c>
      <c r="BR234">
        <v>0</v>
      </c>
      <c r="BS234">
        <v>1</v>
      </c>
      <c r="BT234">
        <v>0</v>
      </c>
      <c r="BU234">
        <v>1</v>
      </c>
      <c r="BV234">
        <v>0</v>
      </c>
      <c r="BW234">
        <v>0</v>
      </c>
      <c r="BX234">
        <v>1</v>
      </c>
      <c r="BY234">
        <v>1</v>
      </c>
      <c r="BZ234">
        <v>10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9</v>
      </c>
      <c r="CZ234">
        <v>1</v>
      </c>
      <c r="DA234">
        <v>1</v>
      </c>
      <c r="DB234">
        <v>1</v>
      </c>
      <c r="DC234">
        <v>2</v>
      </c>
      <c r="DD234">
        <v>0</v>
      </c>
      <c r="DE234">
        <v>1</v>
      </c>
      <c r="DF234">
        <v>0</v>
      </c>
      <c r="DG234">
        <v>0</v>
      </c>
      <c r="DH234">
        <v>0</v>
      </c>
      <c r="DI234">
        <v>3</v>
      </c>
      <c r="DJ234">
        <v>9</v>
      </c>
      <c r="DK234">
        <v>19</v>
      </c>
      <c r="DL234">
        <v>4</v>
      </c>
      <c r="DM234">
        <v>1</v>
      </c>
      <c r="DN234">
        <v>0</v>
      </c>
      <c r="DO234">
        <v>0</v>
      </c>
      <c r="DP234">
        <v>13</v>
      </c>
      <c r="DQ234">
        <v>1</v>
      </c>
      <c r="DR234">
        <v>0</v>
      </c>
      <c r="DS234">
        <v>0</v>
      </c>
      <c r="DT234">
        <v>0</v>
      </c>
      <c r="DU234">
        <v>0</v>
      </c>
      <c r="DV234">
        <v>19</v>
      </c>
      <c r="DW234">
        <v>30</v>
      </c>
      <c r="DX234">
        <v>4</v>
      </c>
      <c r="DY234">
        <v>13</v>
      </c>
      <c r="DZ234">
        <v>1</v>
      </c>
      <c r="EA234">
        <v>8</v>
      </c>
      <c r="EB234">
        <v>3</v>
      </c>
      <c r="EC234">
        <v>0</v>
      </c>
      <c r="ED234">
        <v>0</v>
      </c>
      <c r="EE234">
        <v>0</v>
      </c>
      <c r="EF234">
        <v>1</v>
      </c>
      <c r="EG234">
        <v>0</v>
      </c>
      <c r="EH234">
        <v>30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0</v>
      </c>
      <c r="EP234">
        <v>0</v>
      </c>
      <c r="EQ234">
        <v>0</v>
      </c>
      <c r="ER234">
        <v>0</v>
      </c>
      <c r="ES234">
        <v>0</v>
      </c>
      <c r="ET234">
        <v>0</v>
      </c>
    </row>
    <row r="235" spans="1:150" ht="12.75">
      <c r="A235">
        <v>230</v>
      </c>
      <c r="B235" t="str">
        <f t="shared" si="44"/>
        <v>061908</v>
      </c>
      <c r="C235" t="str">
        <f t="shared" si="45"/>
        <v>Wyryki</v>
      </c>
      <c r="D235" t="str">
        <f t="shared" si="41"/>
        <v>włodawski</v>
      </c>
      <c r="E235" t="str">
        <f t="shared" si="38"/>
        <v>lubelskie</v>
      </c>
      <c r="F235">
        <v>6</v>
      </c>
      <c r="G235" t="str">
        <f>"Świetlica OSP w Zahajkach, Zahajki 11, 22-205 Wyryki"</f>
        <v>Świetlica OSP w Zahajkach, Zahajki 11, 22-205 Wyryki</v>
      </c>
      <c r="H235">
        <v>266</v>
      </c>
      <c r="I235">
        <v>266</v>
      </c>
      <c r="J235">
        <v>0</v>
      </c>
      <c r="K235">
        <v>200</v>
      </c>
      <c r="L235">
        <v>159</v>
      </c>
      <c r="M235">
        <v>41</v>
      </c>
      <c r="N235">
        <v>41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41</v>
      </c>
      <c r="Z235">
        <v>0</v>
      </c>
      <c r="AA235">
        <v>0</v>
      </c>
      <c r="AB235">
        <v>41</v>
      </c>
      <c r="AC235">
        <v>3</v>
      </c>
      <c r="AD235">
        <v>38</v>
      </c>
      <c r="AE235">
        <v>1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1</v>
      </c>
      <c r="AM235">
        <v>0</v>
      </c>
      <c r="AN235">
        <v>0</v>
      </c>
      <c r="AO235">
        <v>0</v>
      </c>
      <c r="AP235">
        <v>1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2</v>
      </c>
      <c r="BD235">
        <v>2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2</v>
      </c>
      <c r="BO235">
        <v>14</v>
      </c>
      <c r="BP235">
        <v>4</v>
      </c>
      <c r="BQ235">
        <v>0</v>
      </c>
      <c r="BR235">
        <v>0</v>
      </c>
      <c r="BS235">
        <v>4</v>
      </c>
      <c r="BT235">
        <v>0</v>
      </c>
      <c r="BU235">
        <v>0</v>
      </c>
      <c r="BV235">
        <v>0</v>
      </c>
      <c r="BW235">
        <v>0</v>
      </c>
      <c r="BX235">
        <v>4</v>
      </c>
      <c r="BY235">
        <v>2</v>
      </c>
      <c r="BZ235">
        <v>14</v>
      </c>
      <c r="CA235">
        <v>2</v>
      </c>
      <c r="CB235">
        <v>0</v>
      </c>
      <c r="CC235">
        <v>2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2</v>
      </c>
      <c r="CM235">
        <v>1</v>
      </c>
      <c r="CN235">
        <v>0</v>
      </c>
      <c r="CO235">
        <v>0</v>
      </c>
      <c r="CP235">
        <v>0</v>
      </c>
      <c r="CQ235">
        <v>1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1</v>
      </c>
      <c r="CY235">
        <v>2</v>
      </c>
      <c r="CZ235">
        <v>1</v>
      </c>
      <c r="DA235">
        <v>0</v>
      </c>
      <c r="DB235">
        <v>0</v>
      </c>
      <c r="DC235">
        <v>1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2</v>
      </c>
      <c r="DK235">
        <v>6</v>
      </c>
      <c r="DL235">
        <v>6</v>
      </c>
      <c r="DM235">
        <v>0</v>
      </c>
      <c r="DN235">
        <v>0</v>
      </c>
      <c r="DO235">
        <v>0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0</v>
      </c>
      <c r="DV235">
        <v>6</v>
      </c>
      <c r="DW235">
        <v>10</v>
      </c>
      <c r="DX235">
        <v>1</v>
      </c>
      <c r="DY235">
        <v>6</v>
      </c>
      <c r="DZ235">
        <v>0</v>
      </c>
      <c r="EA235">
        <v>3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  <c r="EH235">
        <v>10</v>
      </c>
      <c r="EI235">
        <v>0</v>
      </c>
      <c r="EJ235">
        <v>0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0</v>
      </c>
      <c r="ER235">
        <v>0</v>
      </c>
      <c r="ES235">
        <v>0</v>
      </c>
      <c r="ET235">
        <v>0</v>
      </c>
    </row>
    <row r="236" spans="1:150" ht="12.75">
      <c r="A236">
        <v>231</v>
      </c>
      <c r="B236" t="str">
        <f t="shared" si="44"/>
        <v>061908</v>
      </c>
      <c r="C236" t="str">
        <f t="shared" si="45"/>
        <v>Wyryki</v>
      </c>
      <c r="D236" t="str">
        <f t="shared" si="41"/>
        <v>włodawski</v>
      </c>
      <c r="E236" t="str">
        <f t="shared" si="38"/>
        <v>lubelskie</v>
      </c>
      <c r="F236">
        <v>7</v>
      </c>
      <c r="G236" t="str">
        <f>"Adampol SPZOZ Gruźlicy i Chorób Płuc, Adampol 37, 22-200 Włodawa"</f>
        <v>Adampol SPZOZ Gruźlicy i Chorób Płuc, Adampol 37, 22-200 Włodawa</v>
      </c>
      <c r="H236">
        <v>51</v>
      </c>
      <c r="I236">
        <v>51</v>
      </c>
      <c r="J236">
        <v>0</v>
      </c>
      <c r="K236">
        <v>65</v>
      </c>
      <c r="L236">
        <v>49</v>
      </c>
      <c r="M236">
        <v>16</v>
      </c>
      <c r="N236">
        <v>16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16</v>
      </c>
      <c r="Z236">
        <v>0</v>
      </c>
      <c r="AA236">
        <v>0</v>
      </c>
      <c r="AB236">
        <v>16</v>
      </c>
      <c r="AC236">
        <v>2</v>
      </c>
      <c r="AD236">
        <v>14</v>
      </c>
      <c r="AE236">
        <v>2</v>
      </c>
      <c r="AF236">
        <v>1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1</v>
      </c>
      <c r="AP236">
        <v>2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4</v>
      </c>
      <c r="BP236">
        <v>0</v>
      </c>
      <c r="BQ236">
        <v>2</v>
      </c>
      <c r="BR236">
        <v>0</v>
      </c>
      <c r="BS236">
        <v>1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1</v>
      </c>
      <c r="BZ236">
        <v>4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1</v>
      </c>
      <c r="DL236">
        <v>0</v>
      </c>
      <c r="DM236">
        <v>1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1</v>
      </c>
      <c r="DW236">
        <v>6</v>
      </c>
      <c r="DX236">
        <v>0</v>
      </c>
      <c r="DY236">
        <v>0</v>
      </c>
      <c r="DZ236">
        <v>1</v>
      </c>
      <c r="EA236">
        <v>4</v>
      </c>
      <c r="EB236">
        <v>0</v>
      </c>
      <c r="EC236">
        <v>0</v>
      </c>
      <c r="ED236">
        <v>0</v>
      </c>
      <c r="EE236">
        <v>0</v>
      </c>
      <c r="EF236">
        <v>0</v>
      </c>
      <c r="EG236">
        <v>1</v>
      </c>
      <c r="EH236">
        <v>6</v>
      </c>
      <c r="EI236">
        <v>1</v>
      </c>
      <c r="EJ236">
        <v>0</v>
      </c>
      <c r="EK236">
        <v>0</v>
      </c>
      <c r="EL236">
        <v>0</v>
      </c>
      <c r="EM236">
        <v>1</v>
      </c>
      <c r="EN236">
        <v>0</v>
      </c>
      <c r="EO236">
        <v>0</v>
      </c>
      <c r="EP236">
        <v>0</v>
      </c>
      <c r="EQ236">
        <v>0</v>
      </c>
      <c r="ER236">
        <v>0</v>
      </c>
      <c r="ES236">
        <v>0</v>
      </c>
      <c r="ET236">
        <v>1</v>
      </c>
    </row>
    <row r="237" spans="1:150" ht="12.75">
      <c r="A237">
        <v>232</v>
      </c>
      <c r="B237" t="str">
        <f aca="true" t="shared" si="46" ref="B237:B272">"066201"</f>
        <v>066201</v>
      </c>
      <c r="C237" t="str">
        <f aca="true" t="shared" si="47" ref="C237:C272">"m. Chełm"</f>
        <v>m. Chełm</v>
      </c>
      <c r="D237" t="str">
        <f aca="true" t="shared" si="48" ref="D237:D272">"Chełm"</f>
        <v>Chełm</v>
      </c>
      <c r="E237" t="str">
        <f t="shared" si="38"/>
        <v>lubelskie</v>
      </c>
      <c r="F237">
        <v>1</v>
      </c>
      <c r="G237" t="str">
        <f>"P.H.U. Majami, ul. Włodawska 5 (lokal obok stacji CPN), 22-100 Chełm"</f>
        <v>P.H.U. Majami, ul. Włodawska 5 (lokal obok stacji CPN), 22-100 Chełm</v>
      </c>
      <c r="H237">
        <v>1543</v>
      </c>
      <c r="I237">
        <v>1543</v>
      </c>
      <c r="J237">
        <v>0</v>
      </c>
      <c r="K237">
        <v>1090</v>
      </c>
      <c r="L237">
        <v>636</v>
      </c>
      <c r="M237">
        <v>454</v>
      </c>
      <c r="N237">
        <v>454</v>
      </c>
      <c r="O237">
        <v>0</v>
      </c>
      <c r="P237">
        <v>0</v>
      </c>
      <c r="Q237">
        <v>2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454</v>
      </c>
      <c r="Z237">
        <v>0</v>
      </c>
      <c r="AA237">
        <v>0</v>
      </c>
      <c r="AB237">
        <v>454</v>
      </c>
      <c r="AC237">
        <v>8</v>
      </c>
      <c r="AD237">
        <v>446</v>
      </c>
      <c r="AE237">
        <v>5</v>
      </c>
      <c r="AF237">
        <v>5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5</v>
      </c>
      <c r="AQ237">
        <v>6</v>
      </c>
      <c r="AR237">
        <v>5</v>
      </c>
      <c r="AS237">
        <v>0</v>
      </c>
      <c r="AT237">
        <v>1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6</v>
      </c>
      <c r="BC237">
        <v>13</v>
      </c>
      <c r="BD237">
        <v>6</v>
      </c>
      <c r="BE237">
        <v>0</v>
      </c>
      <c r="BF237">
        <v>1</v>
      </c>
      <c r="BG237">
        <v>0</v>
      </c>
      <c r="BH237">
        <v>3</v>
      </c>
      <c r="BI237">
        <v>0</v>
      </c>
      <c r="BJ237">
        <v>1</v>
      </c>
      <c r="BK237">
        <v>0</v>
      </c>
      <c r="BL237">
        <v>2</v>
      </c>
      <c r="BM237">
        <v>0</v>
      </c>
      <c r="BN237">
        <v>13</v>
      </c>
      <c r="BO237">
        <v>108</v>
      </c>
      <c r="BP237">
        <v>18</v>
      </c>
      <c r="BQ237">
        <v>75</v>
      </c>
      <c r="BR237">
        <v>1</v>
      </c>
      <c r="BS237">
        <v>13</v>
      </c>
      <c r="BT237">
        <v>0</v>
      </c>
      <c r="BU237">
        <v>0</v>
      </c>
      <c r="BV237">
        <v>0</v>
      </c>
      <c r="BW237">
        <v>1</v>
      </c>
      <c r="BX237">
        <v>0</v>
      </c>
      <c r="BY237">
        <v>0</v>
      </c>
      <c r="BZ237">
        <v>108</v>
      </c>
      <c r="CA237">
        <v>6</v>
      </c>
      <c r="CB237">
        <v>3</v>
      </c>
      <c r="CC237">
        <v>0</v>
      </c>
      <c r="CD237">
        <v>0</v>
      </c>
      <c r="CE237">
        <v>1</v>
      </c>
      <c r="CF237">
        <v>0</v>
      </c>
      <c r="CG237">
        <v>0</v>
      </c>
      <c r="CH237">
        <v>1</v>
      </c>
      <c r="CI237">
        <v>0</v>
      </c>
      <c r="CJ237">
        <v>0</v>
      </c>
      <c r="CK237">
        <v>1</v>
      </c>
      <c r="CL237">
        <v>6</v>
      </c>
      <c r="CM237">
        <v>5</v>
      </c>
      <c r="CN237">
        <v>4</v>
      </c>
      <c r="CO237">
        <v>0</v>
      </c>
      <c r="CP237">
        <v>1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5</v>
      </c>
      <c r="CY237">
        <v>40</v>
      </c>
      <c r="CZ237">
        <v>15</v>
      </c>
      <c r="DA237">
        <v>2</v>
      </c>
      <c r="DB237">
        <v>2</v>
      </c>
      <c r="DC237">
        <v>4</v>
      </c>
      <c r="DD237">
        <v>1</v>
      </c>
      <c r="DE237">
        <v>1</v>
      </c>
      <c r="DF237">
        <v>4</v>
      </c>
      <c r="DG237">
        <v>0</v>
      </c>
      <c r="DH237">
        <v>0</v>
      </c>
      <c r="DI237">
        <v>11</v>
      </c>
      <c r="DJ237">
        <v>40</v>
      </c>
      <c r="DK237">
        <v>75</v>
      </c>
      <c r="DL237">
        <v>6</v>
      </c>
      <c r="DM237">
        <v>2</v>
      </c>
      <c r="DN237">
        <v>1</v>
      </c>
      <c r="DO237">
        <v>0</v>
      </c>
      <c r="DP237">
        <v>65</v>
      </c>
      <c r="DQ237">
        <v>0</v>
      </c>
      <c r="DR237">
        <v>0</v>
      </c>
      <c r="DS237">
        <v>0</v>
      </c>
      <c r="DT237">
        <v>0</v>
      </c>
      <c r="DU237">
        <v>1</v>
      </c>
      <c r="DV237">
        <v>75</v>
      </c>
      <c r="DW237">
        <v>187</v>
      </c>
      <c r="DX237">
        <v>0</v>
      </c>
      <c r="DY237">
        <v>0</v>
      </c>
      <c r="DZ237">
        <v>3</v>
      </c>
      <c r="EA237">
        <v>184</v>
      </c>
      <c r="EB237">
        <v>0</v>
      </c>
      <c r="EC237">
        <v>0</v>
      </c>
      <c r="ED237">
        <v>0</v>
      </c>
      <c r="EE237">
        <v>0</v>
      </c>
      <c r="EF237">
        <v>0</v>
      </c>
      <c r="EG237">
        <v>0</v>
      </c>
      <c r="EH237">
        <v>187</v>
      </c>
      <c r="EI237">
        <v>1</v>
      </c>
      <c r="EJ237">
        <v>0</v>
      </c>
      <c r="EK237">
        <v>0</v>
      </c>
      <c r="EL237">
        <v>0</v>
      </c>
      <c r="EM237">
        <v>0</v>
      </c>
      <c r="EN237">
        <v>0</v>
      </c>
      <c r="EO237">
        <v>0</v>
      </c>
      <c r="EP237">
        <v>1</v>
      </c>
      <c r="EQ237">
        <v>0</v>
      </c>
      <c r="ER237">
        <v>0</v>
      </c>
      <c r="ES237">
        <v>0</v>
      </c>
      <c r="ET237">
        <v>1</v>
      </c>
    </row>
    <row r="238" spans="1:150" ht="12.75">
      <c r="A238">
        <v>233</v>
      </c>
      <c r="B238" t="str">
        <f t="shared" si="46"/>
        <v>066201</v>
      </c>
      <c r="C238" t="str">
        <f t="shared" si="47"/>
        <v>m. Chełm</v>
      </c>
      <c r="D238" t="str">
        <f t="shared" si="48"/>
        <v>Chełm</v>
      </c>
      <c r="E238" t="str">
        <f t="shared" si="38"/>
        <v>lubelskie</v>
      </c>
      <c r="F238">
        <v>2</v>
      </c>
      <c r="G238" t="str">
        <f>"Zepół Szkół Ogólnokształcących Nr 7, ul. Synów Pułku 15, 22-100 Chełm"</f>
        <v>Zepół Szkół Ogólnokształcących Nr 7, ul. Synów Pułku 15, 22-100 Chełm</v>
      </c>
      <c r="H238">
        <v>2063</v>
      </c>
      <c r="I238">
        <v>2063</v>
      </c>
      <c r="J238">
        <v>0</v>
      </c>
      <c r="K238">
        <v>1438</v>
      </c>
      <c r="L238">
        <v>888</v>
      </c>
      <c r="M238">
        <v>550</v>
      </c>
      <c r="N238">
        <v>550</v>
      </c>
      <c r="O238">
        <v>0</v>
      </c>
      <c r="P238">
        <v>0</v>
      </c>
      <c r="Q238">
        <v>2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550</v>
      </c>
      <c r="Z238">
        <v>0</v>
      </c>
      <c r="AA238">
        <v>0</v>
      </c>
      <c r="AB238">
        <v>550</v>
      </c>
      <c r="AC238">
        <v>21</v>
      </c>
      <c r="AD238">
        <v>529</v>
      </c>
      <c r="AE238">
        <v>3</v>
      </c>
      <c r="AF238">
        <v>3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3</v>
      </c>
      <c r="AQ238">
        <v>9</v>
      </c>
      <c r="AR238">
        <v>7</v>
      </c>
      <c r="AS238">
        <v>0</v>
      </c>
      <c r="AT238">
        <v>0</v>
      </c>
      <c r="AU238">
        <v>1</v>
      </c>
      <c r="AV238">
        <v>0</v>
      </c>
      <c r="AW238">
        <v>0</v>
      </c>
      <c r="AX238">
        <v>0</v>
      </c>
      <c r="AY238">
        <v>1</v>
      </c>
      <c r="AZ238">
        <v>0</v>
      </c>
      <c r="BA238">
        <v>0</v>
      </c>
      <c r="BB238">
        <v>9</v>
      </c>
      <c r="BC238">
        <v>25</v>
      </c>
      <c r="BD238">
        <v>9</v>
      </c>
      <c r="BE238">
        <v>0</v>
      </c>
      <c r="BF238">
        <v>4</v>
      </c>
      <c r="BG238">
        <v>0</v>
      </c>
      <c r="BH238">
        <v>8</v>
      </c>
      <c r="BI238">
        <v>0</v>
      </c>
      <c r="BJ238">
        <v>0</v>
      </c>
      <c r="BK238">
        <v>2</v>
      </c>
      <c r="BL238">
        <v>2</v>
      </c>
      <c r="BM238">
        <v>0</v>
      </c>
      <c r="BN238">
        <v>25</v>
      </c>
      <c r="BO238">
        <v>114</v>
      </c>
      <c r="BP238">
        <v>28</v>
      </c>
      <c r="BQ238">
        <v>61</v>
      </c>
      <c r="BR238">
        <v>4</v>
      </c>
      <c r="BS238">
        <v>21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114</v>
      </c>
      <c r="CA238">
        <v>18</v>
      </c>
      <c r="CB238">
        <v>13</v>
      </c>
      <c r="CC238">
        <v>3</v>
      </c>
      <c r="CD238">
        <v>0</v>
      </c>
      <c r="CE238">
        <v>1</v>
      </c>
      <c r="CF238">
        <v>0</v>
      </c>
      <c r="CG238">
        <v>1</v>
      </c>
      <c r="CH238">
        <v>0</v>
      </c>
      <c r="CI238">
        <v>0</v>
      </c>
      <c r="CJ238">
        <v>0</v>
      </c>
      <c r="CK238">
        <v>0</v>
      </c>
      <c r="CL238">
        <v>18</v>
      </c>
      <c r="CM238">
        <v>4</v>
      </c>
      <c r="CN238">
        <v>3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1</v>
      </c>
      <c r="CX238">
        <v>4</v>
      </c>
      <c r="CY238">
        <v>33</v>
      </c>
      <c r="CZ238">
        <v>21</v>
      </c>
      <c r="DA238">
        <v>7</v>
      </c>
      <c r="DB238">
        <v>1</v>
      </c>
      <c r="DC238">
        <v>2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2</v>
      </c>
      <c r="DJ238">
        <v>33</v>
      </c>
      <c r="DK238">
        <v>101</v>
      </c>
      <c r="DL238">
        <v>15</v>
      </c>
      <c r="DM238">
        <v>2</v>
      </c>
      <c r="DN238">
        <v>0</v>
      </c>
      <c r="DO238">
        <v>0</v>
      </c>
      <c r="DP238">
        <v>84</v>
      </c>
      <c r="DQ238">
        <v>0</v>
      </c>
      <c r="DR238">
        <v>0</v>
      </c>
      <c r="DS238">
        <v>0</v>
      </c>
      <c r="DT238">
        <v>0</v>
      </c>
      <c r="DU238">
        <v>0</v>
      </c>
      <c r="DV238">
        <v>101</v>
      </c>
      <c r="DW238">
        <v>221</v>
      </c>
      <c r="DX238">
        <v>3</v>
      </c>
      <c r="DY238">
        <v>2</v>
      </c>
      <c r="DZ238">
        <v>1</v>
      </c>
      <c r="EA238">
        <v>212</v>
      </c>
      <c r="EB238">
        <v>0</v>
      </c>
      <c r="EC238">
        <v>0</v>
      </c>
      <c r="ED238">
        <v>0</v>
      </c>
      <c r="EE238">
        <v>3</v>
      </c>
      <c r="EF238">
        <v>0</v>
      </c>
      <c r="EG238">
        <v>0</v>
      </c>
      <c r="EH238">
        <v>221</v>
      </c>
      <c r="EI238">
        <v>1</v>
      </c>
      <c r="EJ238">
        <v>1</v>
      </c>
      <c r="EK238">
        <v>0</v>
      </c>
      <c r="EL238">
        <v>0</v>
      </c>
      <c r="EM238">
        <v>0</v>
      </c>
      <c r="EN238">
        <v>0</v>
      </c>
      <c r="EO238">
        <v>0</v>
      </c>
      <c r="EP238">
        <v>0</v>
      </c>
      <c r="EQ238">
        <v>0</v>
      </c>
      <c r="ER238">
        <v>0</v>
      </c>
      <c r="ES238">
        <v>0</v>
      </c>
      <c r="ET238">
        <v>1</v>
      </c>
    </row>
    <row r="239" spans="1:150" ht="12.75">
      <c r="A239">
        <v>234</v>
      </c>
      <c r="B239" t="str">
        <f t="shared" si="46"/>
        <v>066201</v>
      </c>
      <c r="C239" t="str">
        <f t="shared" si="47"/>
        <v>m. Chełm</v>
      </c>
      <c r="D239" t="str">
        <f t="shared" si="48"/>
        <v>Chełm</v>
      </c>
      <c r="E239" t="str">
        <f t="shared" si="38"/>
        <v>lubelskie</v>
      </c>
      <c r="F239">
        <v>3</v>
      </c>
      <c r="G239" t="str">
        <f>"Przedszkole Miejskie nr 10, ul. Zachodnia 49, 22-100 Chełm"</f>
        <v>Przedszkole Miejskie nr 10, ul. Zachodnia 49, 22-100 Chełm</v>
      </c>
      <c r="H239">
        <v>2138</v>
      </c>
      <c r="I239">
        <v>2138</v>
      </c>
      <c r="J239">
        <v>0</v>
      </c>
      <c r="K239">
        <v>1489</v>
      </c>
      <c r="L239">
        <v>960</v>
      </c>
      <c r="M239">
        <v>529</v>
      </c>
      <c r="N239">
        <v>529</v>
      </c>
      <c r="O239">
        <v>0</v>
      </c>
      <c r="P239">
        <v>1</v>
      </c>
      <c r="Q239">
        <v>3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529</v>
      </c>
      <c r="Z239">
        <v>0</v>
      </c>
      <c r="AA239">
        <v>0</v>
      </c>
      <c r="AB239">
        <v>529</v>
      </c>
      <c r="AC239">
        <v>7</v>
      </c>
      <c r="AD239">
        <v>522</v>
      </c>
      <c r="AE239">
        <v>4</v>
      </c>
      <c r="AF239">
        <v>2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1</v>
      </c>
      <c r="AN239">
        <v>0</v>
      </c>
      <c r="AO239">
        <v>1</v>
      </c>
      <c r="AP239">
        <v>4</v>
      </c>
      <c r="AQ239">
        <v>16</v>
      </c>
      <c r="AR239">
        <v>15</v>
      </c>
      <c r="AS239">
        <v>1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16</v>
      </c>
      <c r="BC239">
        <v>21</v>
      </c>
      <c r="BD239">
        <v>10</v>
      </c>
      <c r="BE239">
        <v>2</v>
      </c>
      <c r="BF239">
        <v>2</v>
      </c>
      <c r="BG239">
        <v>0</v>
      </c>
      <c r="BH239">
        <v>5</v>
      </c>
      <c r="BI239">
        <v>0</v>
      </c>
      <c r="BJ239">
        <v>0</v>
      </c>
      <c r="BK239">
        <v>0</v>
      </c>
      <c r="BL239">
        <v>2</v>
      </c>
      <c r="BM239">
        <v>0</v>
      </c>
      <c r="BN239">
        <v>21</v>
      </c>
      <c r="BO239">
        <v>139</v>
      </c>
      <c r="BP239">
        <v>34</v>
      </c>
      <c r="BQ239">
        <v>76</v>
      </c>
      <c r="BR239">
        <v>4</v>
      </c>
      <c r="BS239">
        <v>20</v>
      </c>
      <c r="BT239">
        <v>1</v>
      </c>
      <c r="BU239">
        <v>0</v>
      </c>
      <c r="BV239">
        <v>0</v>
      </c>
      <c r="BW239">
        <v>2</v>
      </c>
      <c r="BX239">
        <v>0</v>
      </c>
      <c r="BY239">
        <v>2</v>
      </c>
      <c r="BZ239">
        <v>139</v>
      </c>
      <c r="CA239">
        <v>9</v>
      </c>
      <c r="CB239">
        <v>6</v>
      </c>
      <c r="CC239">
        <v>2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1</v>
      </c>
      <c r="CL239">
        <v>9</v>
      </c>
      <c r="CM239">
        <v>12</v>
      </c>
      <c r="CN239">
        <v>8</v>
      </c>
      <c r="CO239">
        <v>0</v>
      </c>
      <c r="CP239">
        <v>1</v>
      </c>
      <c r="CQ239">
        <v>1</v>
      </c>
      <c r="CR239">
        <v>0</v>
      </c>
      <c r="CS239">
        <v>0</v>
      </c>
      <c r="CT239">
        <v>1</v>
      </c>
      <c r="CU239">
        <v>0</v>
      </c>
      <c r="CV239">
        <v>0</v>
      </c>
      <c r="CW239">
        <v>1</v>
      </c>
      <c r="CX239">
        <v>12</v>
      </c>
      <c r="CY239">
        <v>35</v>
      </c>
      <c r="CZ239">
        <v>12</v>
      </c>
      <c r="DA239">
        <v>5</v>
      </c>
      <c r="DB239">
        <v>3</v>
      </c>
      <c r="DC239">
        <v>1</v>
      </c>
      <c r="DD239">
        <v>0</v>
      </c>
      <c r="DE239">
        <v>1</v>
      </c>
      <c r="DF239">
        <v>2</v>
      </c>
      <c r="DG239">
        <v>0</v>
      </c>
      <c r="DH239">
        <v>0</v>
      </c>
      <c r="DI239">
        <v>11</v>
      </c>
      <c r="DJ239">
        <v>35</v>
      </c>
      <c r="DK239">
        <v>88</v>
      </c>
      <c r="DL239">
        <v>16</v>
      </c>
      <c r="DM239">
        <v>2</v>
      </c>
      <c r="DN239">
        <v>3</v>
      </c>
      <c r="DO239">
        <v>0</v>
      </c>
      <c r="DP239">
        <v>63</v>
      </c>
      <c r="DQ239">
        <v>1</v>
      </c>
      <c r="DR239">
        <v>1</v>
      </c>
      <c r="DS239">
        <v>0</v>
      </c>
      <c r="DT239">
        <v>2</v>
      </c>
      <c r="DU239">
        <v>0</v>
      </c>
      <c r="DV239">
        <v>88</v>
      </c>
      <c r="DW239">
        <v>198</v>
      </c>
      <c r="DX239">
        <v>2</v>
      </c>
      <c r="DY239">
        <v>6</v>
      </c>
      <c r="DZ239">
        <v>2</v>
      </c>
      <c r="EA239">
        <v>188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0</v>
      </c>
      <c r="EH239">
        <v>198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0</v>
      </c>
      <c r="ES239">
        <v>0</v>
      </c>
      <c r="ET239">
        <v>0</v>
      </c>
    </row>
    <row r="240" spans="1:150" ht="12.75">
      <c r="A240">
        <v>235</v>
      </c>
      <c r="B240" t="str">
        <f t="shared" si="46"/>
        <v>066201</v>
      </c>
      <c r="C240" t="str">
        <f t="shared" si="47"/>
        <v>m. Chełm</v>
      </c>
      <c r="D240" t="str">
        <f t="shared" si="48"/>
        <v>Chełm</v>
      </c>
      <c r="E240" t="str">
        <f t="shared" si="38"/>
        <v>lubelskie</v>
      </c>
      <c r="F240">
        <v>4</v>
      </c>
      <c r="G240" t="str">
        <f>"Zespół Szkół Ogólnokształcących nr 3, ul. Rejowiecka 76, 22-100 Chełm"</f>
        <v>Zespół Szkół Ogólnokształcących nr 3, ul. Rejowiecka 76, 22-100 Chełm</v>
      </c>
      <c r="H240">
        <v>1593</v>
      </c>
      <c r="I240">
        <v>1593</v>
      </c>
      <c r="J240">
        <v>0</v>
      </c>
      <c r="K240">
        <v>1121</v>
      </c>
      <c r="L240">
        <v>746</v>
      </c>
      <c r="M240">
        <v>375</v>
      </c>
      <c r="N240">
        <v>375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375</v>
      </c>
      <c r="Z240">
        <v>0</v>
      </c>
      <c r="AA240">
        <v>0</v>
      </c>
      <c r="AB240">
        <v>375</v>
      </c>
      <c r="AC240">
        <v>10</v>
      </c>
      <c r="AD240">
        <v>365</v>
      </c>
      <c r="AE240">
        <v>7</v>
      </c>
      <c r="AF240">
        <v>4</v>
      </c>
      <c r="AG240">
        <v>0</v>
      </c>
      <c r="AH240">
        <v>1</v>
      </c>
      <c r="AI240">
        <v>0</v>
      </c>
      <c r="AJ240">
        <v>1</v>
      </c>
      <c r="AK240">
        <v>0</v>
      </c>
      <c r="AL240">
        <v>0</v>
      </c>
      <c r="AM240">
        <v>0</v>
      </c>
      <c r="AN240">
        <v>0</v>
      </c>
      <c r="AO240">
        <v>1</v>
      </c>
      <c r="AP240">
        <v>7</v>
      </c>
      <c r="AQ240">
        <v>1</v>
      </c>
      <c r="AR240">
        <v>1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1</v>
      </c>
      <c r="BC240">
        <v>17</v>
      </c>
      <c r="BD240">
        <v>6</v>
      </c>
      <c r="BE240">
        <v>1</v>
      </c>
      <c r="BF240">
        <v>0</v>
      </c>
      <c r="BG240">
        <v>0</v>
      </c>
      <c r="BH240">
        <v>10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17</v>
      </c>
      <c r="BO240">
        <v>98</v>
      </c>
      <c r="BP240">
        <v>12</v>
      </c>
      <c r="BQ240">
        <v>57</v>
      </c>
      <c r="BR240">
        <v>3</v>
      </c>
      <c r="BS240">
        <v>23</v>
      </c>
      <c r="BT240">
        <v>0</v>
      </c>
      <c r="BU240">
        <v>0</v>
      </c>
      <c r="BV240">
        <v>0</v>
      </c>
      <c r="BW240">
        <v>1</v>
      </c>
      <c r="BX240">
        <v>0</v>
      </c>
      <c r="BY240">
        <v>2</v>
      </c>
      <c r="BZ240">
        <v>98</v>
      </c>
      <c r="CA240">
        <v>5</v>
      </c>
      <c r="CB240">
        <v>3</v>
      </c>
      <c r="CC240">
        <v>2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5</v>
      </c>
      <c r="CM240">
        <v>5</v>
      </c>
      <c r="CN240">
        <v>3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1</v>
      </c>
      <c r="CU240">
        <v>0</v>
      </c>
      <c r="CV240">
        <v>0</v>
      </c>
      <c r="CW240">
        <v>1</v>
      </c>
      <c r="CX240">
        <v>5</v>
      </c>
      <c r="CY240">
        <v>23</v>
      </c>
      <c r="CZ240">
        <v>11</v>
      </c>
      <c r="DA240">
        <v>1</v>
      </c>
      <c r="DB240">
        <v>1</v>
      </c>
      <c r="DC240">
        <v>1</v>
      </c>
      <c r="DD240">
        <v>3</v>
      </c>
      <c r="DE240">
        <v>0</v>
      </c>
      <c r="DF240">
        <v>0</v>
      </c>
      <c r="DG240">
        <v>0</v>
      </c>
      <c r="DH240">
        <v>0</v>
      </c>
      <c r="DI240">
        <v>6</v>
      </c>
      <c r="DJ240">
        <v>23</v>
      </c>
      <c r="DK240">
        <v>63</v>
      </c>
      <c r="DL240">
        <v>10</v>
      </c>
      <c r="DM240">
        <v>3</v>
      </c>
      <c r="DN240">
        <v>1</v>
      </c>
      <c r="DO240">
        <v>0</v>
      </c>
      <c r="DP240">
        <v>48</v>
      </c>
      <c r="DQ240">
        <v>1</v>
      </c>
      <c r="DR240">
        <v>0</v>
      </c>
      <c r="DS240">
        <v>0</v>
      </c>
      <c r="DT240">
        <v>0</v>
      </c>
      <c r="DU240">
        <v>0</v>
      </c>
      <c r="DV240">
        <v>63</v>
      </c>
      <c r="DW240">
        <v>146</v>
      </c>
      <c r="DX240">
        <v>4</v>
      </c>
      <c r="DY240">
        <v>1</v>
      </c>
      <c r="DZ240">
        <v>0</v>
      </c>
      <c r="EA240">
        <v>141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0</v>
      </c>
      <c r="EH240">
        <v>146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0</v>
      </c>
      <c r="ES240">
        <v>0</v>
      </c>
      <c r="ET240">
        <v>0</v>
      </c>
    </row>
    <row r="241" spans="1:150" ht="12.75">
      <c r="A241">
        <v>236</v>
      </c>
      <c r="B241" t="str">
        <f t="shared" si="46"/>
        <v>066201</v>
      </c>
      <c r="C241" t="str">
        <f t="shared" si="47"/>
        <v>m. Chełm</v>
      </c>
      <c r="D241" t="str">
        <f t="shared" si="48"/>
        <v>Chełm</v>
      </c>
      <c r="E241" t="str">
        <f t="shared" si="38"/>
        <v>lubelskie</v>
      </c>
      <c r="F241">
        <v>5</v>
      </c>
      <c r="G241" t="str">
        <f>"Medyczne Studium Zawodowe, ul. Szpitalna 50, 22-100 Chełm"</f>
        <v>Medyczne Studium Zawodowe, ul. Szpitalna 50, 22-100 Chełm</v>
      </c>
      <c r="H241">
        <v>1722</v>
      </c>
      <c r="I241">
        <v>1722</v>
      </c>
      <c r="J241">
        <v>0</v>
      </c>
      <c r="K241">
        <v>1197</v>
      </c>
      <c r="L241">
        <v>768</v>
      </c>
      <c r="M241">
        <v>429</v>
      </c>
      <c r="N241">
        <v>429</v>
      </c>
      <c r="O241">
        <v>0</v>
      </c>
      <c r="P241">
        <v>0</v>
      </c>
      <c r="Q241">
        <v>1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429</v>
      </c>
      <c r="Z241">
        <v>0</v>
      </c>
      <c r="AA241">
        <v>0</v>
      </c>
      <c r="AB241">
        <v>429</v>
      </c>
      <c r="AC241">
        <v>10</v>
      </c>
      <c r="AD241">
        <v>419</v>
      </c>
      <c r="AE241">
        <v>2</v>
      </c>
      <c r="AF241">
        <v>2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2</v>
      </c>
      <c r="AQ241">
        <v>4</v>
      </c>
      <c r="AR241">
        <v>3</v>
      </c>
      <c r="AS241">
        <v>1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4</v>
      </c>
      <c r="BC241">
        <v>15</v>
      </c>
      <c r="BD241">
        <v>3</v>
      </c>
      <c r="BE241">
        <v>0</v>
      </c>
      <c r="BF241">
        <v>0</v>
      </c>
      <c r="BG241">
        <v>1</v>
      </c>
      <c r="BH241">
        <v>3</v>
      </c>
      <c r="BI241">
        <v>3</v>
      </c>
      <c r="BJ241">
        <v>0</v>
      </c>
      <c r="BK241">
        <v>2</v>
      </c>
      <c r="BL241">
        <v>2</v>
      </c>
      <c r="BM241">
        <v>1</v>
      </c>
      <c r="BN241">
        <v>15</v>
      </c>
      <c r="BO241">
        <v>102</v>
      </c>
      <c r="BP241">
        <v>10</v>
      </c>
      <c r="BQ241">
        <v>57</v>
      </c>
      <c r="BR241">
        <v>6</v>
      </c>
      <c r="BS241">
        <v>24</v>
      </c>
      <c r="BT241">
        <v>1</v>
      </c>
      <c r="BU241">
        <v>0</v>
      </c>
      <c r="BV241">
        <v>0</v>
      </c>
      <c r="BW241">
        <v>2</v>
      </c>
      <c r="BX241">
        <v>2</v>
      </c>
      <c r="BY241">
        <v>0</v>
      </c>
      <c r="BZ241">
        <v>102</v>
      </c>
      <c r="CA241">
        <v>14</v>
      </c>
      <c r="CB241">
        <v>9</v>
      </c>
      <c r="CC241">
        <v>4</v>
      </c>
      <c r="CD241">
        <v>0</v>
      </c>
      <c r="CE241">
        <v>0</v>
      </c>
      <c r="CF241">
        <v>1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14</v>
      </c>
      <c r="CM241">
        <v>1</v>
      </c>
      <c r="CN241">
        <v>1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1</v>
      </c>
      <c r="CY241">
        <v>21</v>
      </c>
      <c r="CZ241">
        <v>9</v>
      </c>
      <c r="DA241">
        <v>4</v>
      </c>
      <c r="DB241">
        <v>0</v>
      </c>
      <c r="DC241">
        <v>0</v>
      </c>
      <c r="DD241">
        <v>1</v>
      </c>
      <c r="DE241">
        <v>0</v>
      </c>
      <c r="DF241">
        <v>1</v>
      </c>
      <c r="DG241">
        <v>0</v>
      </c>
      <c r="DH241">
        <v>0</v>
      </c>
      <c r="DI241">
        <v>6</v>
      </c>
      <c r="DJ241">
        <v>21</v>
      </c>
      <c r="DK241">
        <v>99</v>
      </c>
      <c r="DL241">
        <v>12</v>
      </c>
      <c r="DM241">
        <v>1</v>
      </c>
      <c r="DN241">
        <v>3</v>
      </c>
      <c r="DO241">
        <v>0</v>
      </c>
      <c r="DP241">
        <v>80</v>
      </c>
      <c r="DQ241">
        <v>1</v>
      </c>
      <c r="DR241">
        <v>0</v>
      </c>
      <c r="DS241">
        <v>0</v>
      </c>
      <c r="DT241">
        <v>2</v>
      </c>
      <c r="DU241">
        <v>0</v>
      </c>
      <c r="DV241">
        <v>99</v>
      </c>
      <c r="DW241">
        <v>161</v>
      </c>
      <c r="DX241">
        <v>1</v>
      </c>
      <c r="DY241">
        <v>7</v>
      </c>
      <c r="DZ241">
        <v>0</v>
      </c>
      <c r="EA241">
        <v>153</v>
      </c>
      <c r="EB241">
        <v>0</v>
      </c>
      <c r="EC241">
        <v>0</v>
      </c>
      <c r="ED241">
        <v>0</v>
      </c>
      <c r="EE241">
        <v>0</v>
      </c>
      <c r="EF241">
        <v>0</v>
      </c>
      <c r="EG241">
        <v>0</v>
      </c>
      <c r="EH241">
        <v>161</v>
      </c>
      <c r="EI241">
        <v>0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0</v>
      </c>
      <c r="EP241">
        <v>0</v>
      </c>
      <c r="EQ241">
        <v>0</v>
      </c>
      <c r="ER241">
        <v>0</v>
      </c>
      <c r="ES241">
        <v>0</v>
      </c>
      <c r="ET241">
        <v>0</v>
      </c>
    </row>
    <row r="242" spans="1:150" ht="12.75">
      <c r="A242">
        <v>237</v>
      </c>
      <c r="B242" t="str">
        <f t="shared" si="46"/>
        <v>066201</v>
      </c>
      <c r="C242" t="str">
        <f t="shared" si="47"/>
        <v>m. Chełm</v>
      </c>
      <c r="D242" t="str">
        <f t="shared" si="48"/>
        <v>Chełm</v>
      </c>
      <c r="E242" t="str">
        <f t="shared" si="38"/>
        <v>lubelskie</v>
      </c>
      <c r="F242">
        <v>6</v>
      </c>
      <c r="G242" t="str">
        <f>"II Liceum Ogólnokształcące, ul. Szpitalna 14, 22-100 Chełm"</f>
        <v>II Liceum Ogólnokształcące, ul. Szpitalna 14, 22-100 Chełm</v>
      </c>
      <c r="H242">
        <v>617</v>
      </c>
      <c r="I242">
        <v>617</v>
      </c>
      <c r="J242">
        <v>0</v>
      </c>
      <c r="K242">
        <v>430</v>
      </c>
      <c r="L242">
        <v>236</v>
      </c>
      <c r="M242">
        <v>194</v>
      </c>
      <c r="N242">
        <v>194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194</v>
      </c>
      <c r="Z242">
        <v>0</v>
      </c>
      <c r="AA242">
        <v>0</v>
      </c>
      <c r="AB242">
        <v>194</v>
      </c>
      <c r="AC242">
        <v>2</v>
      </c>
      <c r="AD242">
        <v>192</v>
      </c>
      <c r="AE242">
        <v>5</v>
      </c>
      <c r="AF242">
        <v>2</v>
      </c>
      <c r="AG242">
        <v>1</v>
      </c>
      <c r="AH242">
        <v>0</v>
      </c>
      <c r="AI242">
        <v>0</v>
      </c>
      <c r="AJ242">
        <v>0</v>
      </c>
      <c r="AK242">
        <v>0</v>
      </c>
      <c r="AL242">
        <v>1</v>
      </c>
      <c r="AM242">
        <v>1</v>
      </c>
      <c r="AN242">
        <v>0</v>
      </c>
      <c r="AO242">
        <v>0</v>
      </c>
      <c r="AP242">
        <v>5</v>
      </c>
      <c r="AQ242">
        <v>2</v>
      </c>
      <c r="AR242">
        <v>2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2</v>
      </c>
      <c r="BC242">
        <v>8</v>
      </c>
      <c r="BD242">
        <v>2</v>
      </c>
      <c r="BE242">
        <v>0</v>
      </c>
      <c r="BF242">
        <v>1</v>
      </c>
      <c r="BG242">
        <v>0</v>
      </c>
      <c r="BH242">
        <v>5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8</v>
      </c>
      <c r="BO242">
        <v>42</v>
      </c>
      <c r="BP242">
        <v>17</v>
      </c>
      <c r="BQ242">
        <v>14</v>
      </c>
      <c r="BR242">
        <v>0</v>
      </c>
      <c r="BS242">
        <v>10</v>
      </c>
      <c r="BT242">
        <v>0</v>
      </c>
      <c r="BU242">
        <v>1</v>
      </c>
      <c r="BV242">
        <v>0</v>
      </c>
      <c r="BW242">
        <v>0</v>
      </c>
      <c r="BX242">
        <v>0</v>
      </c>
      <c r="BY242">
        <v>0</v>
      </c>
      <c r="BZ242">
        <v>42</v>
      </c>
      <c r="CA242">
        <v>5</v>
      </c>
      <c r="CB242">
        <v>4</v>
      </c>
      <c r="CC242">
        <v>1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5</v>
      </c>
      <c r="CM242">
        <v>1</v>
      </c>
      <c r="CN242">
        <v>1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1</v>
      </c>
      <c r="CY242">
        <v>9</v>
      </c>
      <c r="CZ242">
        <v>8</v>
      </c>
      <c r="DA242">
        <v>0</v>
      </c>
      <c r="DB242">
        <v>1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9</v>
      </c>
      <c r="DK242">
        <v>44</v>
      </c>
      <c r="DL242">
        <v>6</v>
      </c>
      <c r="DM242">
        <v>0</v>
      </c>
      <c r="DN242">
        <v>0</v>
      </c>
      <c r="DO242">
        <v>0</v>
      </c>
      <c r="DP242">
        <v>37</v>
      </c>
      <c r="DQ242">
        <v>0</v>
      </c>
      <c r="DR242">
        <v>0</v>
      </c>
      <c r="DS242">
        <v>0</v>
      </c>
      <c r="DT242">
        <v>0</v>
      </c>
      <c r="DU242">
        <v>1</v>
      </c>
      <c r="DV242">
        <v>44</v>
      </c>
      <c r="DW242">
        <v>76</v>
      </c>
      <c r="DX242">
        <v>1</v>
      </c>
      <c r="DY242">
        <v>0</v>
      </c>
      <c r="DZ242">
        <v>0</v>
      </c>
      <c r="EA242">
        <v>74</v>
      </c>
      <c r="EB242">
        <v>0</v>
      </c>
      <c r="EC242">
        <v>0</v>
      </c>
      <c r="ED242">
        <v>0</v>
      </c>
      <c r="EE242">
        <v>1</v>
      </c>
      <c r="EF242">
        <v>0</v>
      </c>
      <c r="EG242">
        <v>0</v>
      </c>
      <c r="EH242">
        <v>76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0</v>
      </c>
      <c r="EP242">
        <v>0</v>
      </c>
      <c r="EQ242">
        <v>0</v>
      </c>
      <c r="ER242">
        <v>0</v>
      </c>
      <c r="ES242">
        <v>0</v>
      </c>
      <c r="ET242">
        <v>0</v>
      </c>
    </row>
    <row r="243" spans="1:150" ht="12.75">
      <c r="A243">
        <v>238</v>
      </c>
      <c r="B243" t="str">
        <f t="shared" si="46"/>
        <v>066201</v>
      </c>
      <c r="C243" t="str">
        <f t="shared" si="47"/>
        <v>m. Chełm</v>
      </c>
      <c r="D243" t="str">
        <f t="shared" si="48"/>
        <v>Chełm</v>
      </c>
      <c r="E243" t="str">
        <f t="shared" si="38"/>
        <v>lubelskie</v>
      </c>
      <c r="F243">
        <v>7</v>
      </c>
      <c r="G243" t="str">
        <f>"Zespół Wychowania i Pomocy Psychologiczno-Pedagogicznej nr 1, ul. Trubakowska 59, 22-100 Chełm"</f>
        <v>Zespół Wychowania i Pomocy Psychologiczno-Pedagogicznej nr 1, ul. Trubakowska 59, 22-100 Chełm</v>
      </c>
      <c r="H243">
        <v>1493</v>
      </c>
      <c r="I243">
        <v>1493</v>
      </c>
      <c r="J243">
        <v>0</v>
      </c>
      <c r="K243">
        <v>1060</v>
      </c>
      <c r="L243">
        <v>782</v>
      </c>
      <c r="M243">
        <v>278</v>
      </c>
      <c r="N243">
        <v>278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278</v>
      </c>
      <c r="Z243">
        <v>0</v>
      </c>
      <c r="AA243">
        <v>0</v>
      </c>
      <c r="AB243">
        <v>278</v>
      </c>
      <c r="AC243">
        <v>4</v>
      </c>
      <c r="AD243">
        <v>274</v>
      </c>
      <c r="AE243">
        <v>1</v>
      </c>
      <c r="AF243">
        <v>1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1</v>
      </c>
      <c r="AQ243">
        <v>4</v>
      </c>
      <c r="AR243">
        <v>2</v>
      </c>
      <c r="AS243">
        <v>1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1</v>
      </c>
      <c r="BA243">
        <v>0</v>
      </c>
      <c r="BB243">
        <v>4</v>
      </c>
      <c r="BC243">
        <v>32</v>
      </c>
      <c r="BD243">
        <v>9</v>
      </c>
      <c r="BE243">
        <v>3</v>
      </c>
      <c r="BF243">
        <v>0</v>
      </c>
      <c r="BG243">
        <v>1</v>
      </c>
      <c r="BH243">
        <v>19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32</v>
      </c>
      <c r="BO243">
        <v>56</v>
      </c>
      <c r="BP243">
        <v>20</v>
      </c>
      <c r="BQ243">
        <v>15</v>
      </c>
      <c r="BR243">
        <v>0</v>
      </c>
      <c r="BS243">
        <v>19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2</v>
      </c>
      <c r="BZ243">
        <v>56</v>
      </c>
      <c r="CA243">
        <v>7</v>
      </c>
      <c r="CB243">
        <v>4</v>
      </c>
      <c r="CC243">
        <v>1</v>
      </c>
      <c r="CD243">
        <v>0</v>
      </c>
      <c r="CE243">
        <v>2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7</v>
      </c>
      <c r="CM243">
        <v>3</v>
      </c>
      <c r="CN243">
        <v>2</v>
      </c>
      <c r="CO243">
        <v>0</v>
      </c>
      <c r="CP243">
        <v>0</v>
      </c>
      <c r="CQ243">
        <v>0</v>
      </c>
      <c r="CR243">
        <v>1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3</v>
      </c>
      <c r="CY243">
        <v>11</v>
      </c>
      <c r="CZ243">
        <v>4</v>
      </c>
      <c r="DA243">
        <v>1</v>
      </c>
      <c r="DB243">
        <v>1</v>
      </c>
      <c r="DC243">
        <v>1</v>
      </c>
      <c r="DD243">
        <v>1</v>
      </c>
      <c r="DE243">
        <v>1</v>
      </c>
      <c r="DF243">
        <v>1</v>
      </c>
      <c r="DG243">
        <v>0</v>
      </c>
      <c r="DH243">
        <v>0</v>
      </c>
      <c r="DI243">
        <v>1</v>
      </c>
      <c r="DJ243">
        <v>11</v>
      </c>
      <c r="DK243">
        <v>48</v>
      </c>
      <c r="DL243">
        <v>9</v>
      </c>
      <c r="DM243">
        <v>2</v>
      </c>
      <c r="DN243">
        <v>0</v>
      </c>
      <c r="DO243">
        <v>0</v>
      </c>
      <c r="DP243">
        <v>37</v>
      </c>
      <c r="DQ243">
        <v>0</v>
      </c>
      <c r="DR243">
        <v>0</v>
      </c>
      <c r="DS243">
        <v>0</v>
      </c>
      <c r="DT243">
        <v>0</v>
      </c>
      <c r="DU243">
        <v>0</v>
      </c>
      <c r="DV243">
        <v>48</v>
      </c>
      <c r="DW243">
        <v>112</v>
      </c>
      <c r="DX243">
        <v>12</v>
      </c>
      <c r="DY243">
        <v>5</v>
      </c>
      <c r="DZ243">
        <v>0</v>
      </c>
      <c r="EA243">
        <v>95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0</v>
      </c>
      <c r="EH243">
        <v>112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0</v>
      </c>
      <c r="ES243">
        <v>0</v>
      </c>
      <c r="ET243">
        <v>0</v>
      </c>
    </row>
    <row r="244" spans="1:150" ht="12.75">
      <c r="A244">
        <v>239</v>
      </c>
      <c r="B244" t="str">
        <f t="shared" si="46"/>
        <v>066201</v>
      </c>
      <c r="C244" t="str">
        <f t="shared" si="47"/>
        <v>m. Chełm</v>
      </c>
      <c r="D244" t="str">
        <f t="shared" si="48"/>
        <v>Chełm</v>
      </c>
      <c r="E244" t="str">
        <f t="shared" si="38"/>
        <v>lubelskie</v>
      </c>
      <c r="F244">
        <v>8</v>
      </c>
      <c r="G244" t="str">
        <f>"Przedszkole Miejskie nr 11, al. Marszałka Józefa Piłsudskiego 25a, 22-100 Chełm"</f>
        <v>Przedszkole Miejskie nr 11, al. Marszałka Józefa Piłsudskiego 25a, 22-100 Chełm</v>
      </c>
      <c r="H244">
        <v>2085</v>
      </c>
      <c r="I244">
        <v>2085</v>
      </c>
      <c r="J244">
        <v>0</v>
      </c>
      <c r="K244">
        <v>1466</v>
      </c>
      <c r="L244">
        <v>876</v>
      </c>
      <c r="M244">
        <v>590</v>
      </c>
      <c r="N244">
        <v>590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590</v>
      </c>
      <c r="Z244">
        <v>0</v>
      </c>
      <c r="AA244">
        <v>0</v>
      </c>
      <c r="AB244">
        <v>590</v>
      </c>
      <c r="AC244">
        <v>11</v>
      </c>
      <c r="AD244">
        <v>579</v>
      </c>
      <c r="AE244">
        <v>21</v>
      </c>
      <c r="AF244">
        <v>6</v>
      </c>
      <c r="AG244">
        <v>0</v>
      </c>
      <c r="AH244">
        <v>0</v>
      </c>
      <c r="AI244">
        <v>0</v>
      </c>
      <c r="AJ244">
        <v>1</v>
      </c>
      <c r="AK244">
        <v>1</v>
      </c>
      <c r="AL244">
        <v>2</v>
      </c>
      <c r="AM244">
        <v>1</v>
      </c>
      <c r="AN244">
        <v>2</v>
      </c>
      <c r="AO244">
        <v>8</v>
      </c>
      <c r="AP244">
        <v>21</v>
      </c>
      <c r="AQ244">
        <v>8</v>
      </c>
      <c r="AR244">
        <v>3</v>
      </c>
      <c r="AS244">
        <v>4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1</v>
      </c>
      <c r="BB244">
        <v>8</v>
      </c>
      <c r="BC244">
        <v>37</v>
      </c>
      <c r="BD244">
        <v>17</v>
      </c>
      <c r="BE244">
        <v>4</v>
      </c>
      <c r="BF244">
        <v>1</v>
      </c>
      <c r="BG244">
        <v>0</v>
      </c>
      <c r="BH244">
        <v>9</v>
      </c>
      <c r="BI244">
        <v>3</v>
      </c>
      <c r="BJ244">
        <v>1</v>
      </c>
      <c r="BK244">
        <v>1</v>
      </c>
      <c r="BL244">
        <v>0</v>
      </c>
      <c r="BM244">
        <v>1</v>
      </c>
      <c r="BN244">
        <v>37</v>
      </c>
      <c r="BO244">
        <v>158</v>
      </c>
      <c r="BP244">
        <v>38</v>
      </c>
      <c r="BQ244">
        <v>84</v>
      </c>
      <c r="BR244">
        <v>2</v>
      </c>
      <c r="BS244">
        <v>34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158</v>
      </c>
      <c r="CA244">
        <v>14</v>
      </c>
      <c r="CB244">
        <v>11</v>
      </c>
      <c r="CC244">
        <v>0</v>
      </c>
      <c r="CD244">
        <v>0</v>
      </c>
      <c r="CE244">
        <v>1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2</v>
      </c>
      <c r="CL244">
        <v>14</v>
      </c>
      <c r="CM244">
        <v>3</v>
      </c>
      <c r="CN244">
        <v>3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3</v>
      </c>
      <c r="CY244">
        <v>26</v>
      </c>
      <c r="CZ244">
        <v>16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10</v>
      </c>
      <c r="DJ244">
        <v>26</v>
      </c>
      <c r="DK244">
        <v>110</v>
      </c>
      <c r="DL244">
        <v>23</v>
      </c>
      <c r="DM244">
        <v>5</v>
      </c>
      <c r="DN244">
        <v>1</v>
      </c>
      <c r="DO244">
        <v>0</v>
      </c>
      <c r="DP244">
        <v>80</v>
      </c>
      <c r="DQ244">
        <v>0</v>
      </c>
      <c r="DR244">
        <v>0</v>
      </c>
      <c r="DS244">
        <v>1</v>
      </c>
      <c r="DT244">
        <v>0</v>
      </c>
      <c r="DU244">
        <v>0</v>
      </c>
      <c r="DV244">
        <v>110</v>
      </c>
      <c r="DW244">
        <v>200</v>
      </c>
      <c r="DX244">
        <v>3</v>
      </c>
      <c r="DY244">
        <v>5</v>
      </c>
      <c r="DZ244">
        <v>0</v>
      </c>
      <c r="EA244">
        <v>190</v>
      </c>
      <c r="EB244">
        <v>1</v>
      </c>
      <c r="EC244">
        <v>1</v>
      </c>
      <c r="ED244">
        <v>0</v>
      </c>
      <c r="EE244">
        <v>0</v>
      </c>
      <c r="EF244">
        <v>0</v>
      </c>
      <c r="EG244">
        <v>0</v>
      </c>
      <c r="EH244">
        <v>200</v>
      </c>
      <c r="EI244">
        <v>2</v>
      </c>
      <c r="EJ244">
        <v>1</v>
      </c>
      <c r="EK244">
        <v>1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0</v>
      </c>
      <c r="ER244">
        <v>0</v>
      </c>
      <c r="ES244">
        <v>0</v>
      </c>
      <c r="ET244">
        <v>2</v>
      </c>
    </row>
    <row r="245" spans="1:150" ht="12.75">
      <c r="A245">
        <v>240</v>
      </c>
      <c r="B245" t="str">
        <f t="shared" si="46"/>
        <v>066201</v>
      </c>
      <c r="C245" t="str">
        <f t="shared" si="47"/>
        <v>m. Chełm</v>
      </c>
      <c r="D245" t="str">
        <f t="shared" si="48"/>
        <v>Chełm</v>
      </c>
      <c r="E245" t="str">
        <f t="shared" si="38"/>
        <v>lubelskie</v>
      </c>
      <c r="F245">
        <v>9</v>
      </c>
      <c r="G245" t="str">
        <f>"Zespół Szkół Ogólnokształcących nr 1, ul. Wołyńska 1, 22-100 Chełm"</f>
        <v>Zespół Szkół Ogólnokształcących nr 1, ul. Wołyńska 1, 22-100 Chełm</v>
      </c>
      <c r="H245">
        <v>1446</v>
      </c>
      <c r="I245">
        <v>1446</v>
      </c>
      <c r="J245">
        <v>0</v>
      </c>
      <c r="K245">
        <v>1020</v>
      </c>
      <c r="L245">
        <v>572</v>
      </c>
      <c r="M245">
        <v>448</v>
      </c>
      <c r="N245">
        <v>448</v>
      </c>
      <c r="O245">
        <v>0</v>
      </c>
      <c r="P245">
        <v>0</v>
      </c>
      <c r="Q245">
        <v>3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448</v>
      </c>
      <c r="Z245">
        <v>0</v>
      </c>
      <c r="AA245">
        <v>0</v>
      </c>
      <c r="AB245">
        <v>448</v>
      </c>
      <c r="AC245">
        <v>3</v>
      </c>
      <c r="AD245">
        <v>445</v>
      </c>
      <c r="AE245">
        <v>2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1</v>
      </c>
      <c r="AL245">
        <v>1</v>
      </c>
      <c r="AM245">
        <v>0</v>
      </c>
      <c r="AN245">
        <v>0</v>
      </c>
      <c r="AO245">
        <v>0</v>
      </c>
      <c r="AP245">
        <v>2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26</v>
      </c>
      <c r="BD245">
        <v>16</v>
      </c>
      <c r="BE245">
        <v>0</v>
      </c>
      <c r="BF245">
        <v>1</v>
      </c>
      <c r="BG245">
        <v>1</v>
      </c>
      <c r="BH245">
        <v>5</v>
      </c>
      <c r="BI245">
        <v>0</v>
      </c>
      <c r="BJ245">
        <v>0</v>
      </c>
      <c r="BK245">
        <v>0</v>
      </c>
      <c r="BL245">
        <v>2</v>
      </c>
      <c r="BM245">
        <v>1</v>
      </c>
      <c r="BN245">
        <v>26</v>
      </c>
      <c r="BO245">
        <v>125</v>
      </c>
      <c r="BP245">
        <v>20</v>
      </c>
      <c r="BQ245">
        <v>54</v>
      </c>
      <c r="BR245">
        <v>1</v>
      </c>
      <c r="BS245">
        <v>45</v>
      </c>
      <c r="BT245">
        <v>1</v>
      </c>
      <c r="BU245">
        <v>0</v>
      </c>
      <c r="BV245">
        <v>1</v>
      </c>
      <c r="BW245">
        <v>3</v>
      </c>
      <c r="BX245">
        <v>0</v>
      </c>
      <c r="BY245">
        <v>0</v>
      </c>
      <c r="BZ245">
        <v>125</v>
      </c>
      <c r="CA245">
        <v>4</v>
      </c>
      <c r="CB245">
        <v>3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1</v>
      </c>
      <c r="CI245">
        <v>0</v>
      </c>
      <c r="CJ245">
        <v>0</v>
      </c>
      <c r="CK245">
        <v>0</v>
      </c>
      <c r="CL245">
        <v>4</v>
      </c>
      <c r="CM245">
        <v>3</v>
      </c>
      <c r="CN245">
        <v>2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1</v>
      </c>
      <c r="CU245">
        <v>0</v>
      </c>
      <c r="CV245">
        <v>0</v>
      </c>
      <c r="CW245">
        <v>0</v>
      </c>
      <c r="CX245">
        <v>3</v>
      </c>
      <c r="CY245">
        <v>12</v>
      </c>
      <c r="CZ245">
        <v>7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5</v>
      </c>
      <c r="DJ245">
        <v>12</v>
      </c>
      <c r="DK245">
        <v>74</v>
      </c>
      <c r="DL245">
        <v>21</v>
      </c>
      <c r="DM245">
        <v>1</v>
      </c>
      <c r="DN245">
        <v>0</v>
      </c>
      <c r="DO245">
        <v>0</v>
      </c>
      <c r="DP245">
        <v>52</v>
      </c>
      <c r="DQ245">
        <v>0</v>
      </c>
      <c r="DR245">
        <v>0</v>
      </c>
      <c r="DS245">
        <v>0</v>
      </c>
      <c r="DT245">
        <v>0</v>
      </c>
      <c r="DU245">
        <v>0</v>
      </c>
      <c r="DV245">
        <v>74</v>
      </c>
      <c r="DW245">
        <v>199</v>
      </c>
      <c r="DX245">
        <v>1</v>
      </c>
      <c r="DY245">
        <v>3</v>
      </c>
      <c r="DZ245">
        <v>0</v>
      </c>
      <c r="EA245">
        <v>193</v>
      </c>
      <c r="EB245">
        <v>0</v>
      </c>
      <c r="EC245">
        <v>0</v>
      </c>
      <c r="ED245">
        <v>0</v>
      </c>
      <c r="EE245">
        <v>1</v>
      </c>
      <c r="EF245">
        <v>1</v>
      </c>
      <c r="EG245">
        <v>0</v>
      </c>
      <c r="EH245">
        <v>199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0</v>
      </c>
      <c r="ES245">
        <v>0</v>
      </c>
      <c r="ET245">
        <v>0</v>
      </c>
    </row>
    <row r="246" spans="1:150" ht="12.75">
      <c r="A246">
        <v>241</v>
      </c>
      <c r="B246" t="str">
        <f t="shared" si="46"/>
        <v>066201</v>
      </c>
      <c r="C246" t="str">
        <f t="shared" si="47"/>
        <v>m. Chełm</v>
      </c>
      <c r="D246" t="str">
        <f t="shared" si="48"/>
        <v>Chełm</v>
      </c>
      <c r="E246" t="str">
        <f t="shared" si="38"/>
        <v>lubelskie</v>
      </c>
      <c r="F246">
        <v>10</v>
      </c>
      <c r="G246" t="str">
        <f>"Miejski Samodzielny Publiczny Zakład Opieki Zdrowotnej Przychodnia Rejonowa nr 1, ul. Wołyńska 11, 22-100 Chełm"</f>
        <v>Miejski Samodzielny Publiczny Zakład Opieki Zdrowotnej Przychodnia Rejonowa nr 1, ul. Wołyńska 11, 22-100 Chełm</v>
      </c>
      <c r="H246">
        <v>1664</v>
      </c>
      <c r="I246">
        <v>1664</v>
      </c>
      <c r="J246">
        <v>0</v>
      </c>
      <c r="K246">
        <v>1181</v>
      </c>
      <c r="L246">
        <v>733</v>
      </c>
      <c r="M246">
        <v>448</v>
      </c>
      <c r="N246">
        <v>448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448</v>
      </c>
      <c r="Z246">
        <v>0</v>
      </c>
      <c r="AA246">
        <v>0</v>
      </c>
      <c r="AB246">
        <v>448</v>
      </c>
      <c r="AC246">
        <v>3</v>
      </c>
      <c r="AD246">
        <v>445</v>
      </c>
      <c r="AE246">
        <v>7</v>
      </c>
      <c r="AF246">
        <v>2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1</v>
      </c>
      <c r="AN246">
        <v>1</v>
      </c>
      <c r="AO246">
        <v>3</v>
      </c>
      <c r="AP246">
        <v>7</v>
      </c>
      <c r="AQ246">
        <v>5</v>
      </c>
      <c r="AR246">
        <v>2</v>
      </c>
      <c r="AS246">
        <v>0</v>
      </c>
      <c r="AT246">
        <v>1</v>
      </c>
      <c r="AU246">
        <v>1</v>
      </c>
      <c r="AV246">
        <v>0</v>
      </c>
      <c r="AW246">
        <v>1</v>
      </c>
      <c r="AX246">
        <v>0</v>
      </c>
      <c r="AY246">
        <v>0</v>
      </c>
      <c r="AZ246">
        <v>0</v>
      </c>
      <c r="BA246">
        <v>0</v>
      </c>
      <c r="BB246">
        <v>5</v>
      </c>
      <c r="BC246">
        <v>13</v>
      </c>
      <c r="BD246">
        <v>8</v>
      </c>
      <c r="BE246">
        <v>1</v>
      </c>
      <c r="BF246">
        <v>0</v>
      </c>
      <c r="BG246">
        <v>0</v>
      </c>
      <c r="BH246">
        <v>2</v>
      </c>
      <c r="BI246">
        <v>0</v>
      </c>
      <c r="BJ246">
        <v>0</v>
      </c>
      <c r="BK246">
        <v>1</v>
      </c>
      <c r="BL246">
        <v>0</v>
      </c>
      <c r="BM246">
        <v>1</v>
      </c>
      <c r="BN246">
        <v>13</v>
      </c>
      <c r="BO246">
        <v>153</v>
      </c>
      <c r="BP246">
        <v>29</v>
      </c>
      <c r="BQ246">
        <v>87</v>
      </c>
      <c r="BR246">
        <v>4</v>
      </c>
      <c r="BS246">
        <v>31</v>
      </c>
      <c r="BT246">
        <v>0</v>
      </c>
      <c r="BU246">
        <v>0</v>
      </c>
      <c r="BV246">
        <v>0</v>
      </c>
      <c r="BW246">
        <v>1</v>
      </c>
      <c r="BX246">
        <v>1</v>
      </c>
      <c r="BY246">
        <v>0</v>
      </c>
      <c r="BZ246">
        <v>153</v>
      </c>
      <c r="CA246">
        <v>3</v>
      </c>
      <c r="CB246">
        <v>2</v>
      </c>
      <c r="CC246">
        <v>0</v>
      </c>
      <c r="CD246">
        <v>0</v>
      </c>
      <c r="CE246">
        <v>0</v>
      </c>
      <c r="CF246">
        <v>1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3</v>
      </c>
      <c r="CM246">
        <v>2</v>
      </c>
      <c r="CN246">
        <v>2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2</v>
      </c>
      <c r="CY246">
        <v>13</v>
      </c>
      <c r="CZ246">
        <v>7</v>
      </c>
      <c r="DA246">
        <v>0</v>
      </c>
      <c r="DB246">
        <v>0</v>
      </c>
      <c r="DC246">
        <v>2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4</v>
      </c>
      <c r="DJ246">
        <v>13</v>
      </c>
      <c r="DK246">
        <v>83</v>
      </c>
      <c r="DL246">
        <v>20</v>
      </c>
      <c r="DM246">
        <v>6</v>
      </c>
      <c r="DN246">
        <v>0</v>
      </c>
      <c r="DO246">
        <v>0</v>
      </c>
      <c r="DP246">
        <v>54</v>
      </c>
      <c r="DQ246">
        <v>1</v>
      </c>
      <c r="DR246">
        <v>0</v>
      </c>
      <c r="DS246">
        <v>0</v>
      </c>
      <c r="DT246">
        <v>0</v>
      </c>
      <c r="DU246">
        <v>2</v>
      </c>
      <c r="DV246">
        <v>83</v>
      </c>
      <c r="DW246">
        <v>164</v>
      </c>
      <c r="DX246">
        <v>1</v>
      </c>
      <c r="DY246">
        <v>4</v>
      </c>
      <c r="DZ246">
        <v>1</v>
      </c>
      <c r="EA246">
        <v>156</v>
      </c>
      <c r="EB246">
        <v>0</v>
      </c>
      <c r="EC246">
        <v>0</v>
      </c>
      <c r="ED246">
        <v>0</v>
      </c>
      <c r="EE246">
        <v>1</v>
      </c>
      <c r="EF246">
        <v>0</v>
      </c>
      <c r="EG246">
        <v>1</v>
      </c>
      <c r="EH246">
        <v>164</v>
      </c>
      <c r="EI246">
        <v>2</v>
      </c>
      <c r="EJ246">
        <v>0</v>
      </c>
      <c r="EK246">
        <v>1</v>
      </c>
      <c r="EL246">
        <v>0</v>
      </c>
      <c r="EM246">
        <v>0</v>
      </c>
      <c r="EN246">
        <v>0</v>
      </c>
      <c r="EO246">
        <v>1</v>
      </c>
      <c r="EP246">
        <v>0</v>
      </c>
      <c r="EQ246">
        <v>0</v>
      </c>
      <c r="ER246">
        <v>0</v>
      </c>
      <c r="ES246">
        <v>0</v>
      </c>
      <c r="ET246">
        <v>2</v>
      </c>
    </row>
    <row r="247" spans="1:150" ht="12.75">
      <c r="A247">
        <v>242</v>
      </c>
      <c r="B247" t="str">
        <f t="shared" si="46"/>
        <v>066201</v>
      </c>
      <c r="C247" t="str">
        <f t="shared" si="47"/>
        <v>m. Chełm</v>
      </c>
      <c r="D247" t="str">
        <f t="shared" si="48"/>
        <v>Chełm</v>
      </c>
      <c r="E247" t="str">
        <f t="shared" si="38"/>
        <v>lubelskie</v>
      </c>
      <c r="F247">
        <v>11</v>
      </c>
      <c r="G247" t="str">
        <f>"Chełmski Dom Kultury, Plac Tysiąclecia Państwa Polskiego 1, 22-100 Chełm"</f>
        <v>Chełmski Dom Kultury, Plac Tysiąclecia Państwa Polskiego 1, 22-100 Chełm</v>
      </c>
      <c r="H247">
        <v>2111</v>
      </c>
      <c r="I247">
        <v>2111</v>
      </c>
      <c r="J247">
        <v>0</v>
      </c>
      <c r="K247">
        <v>1480</v>
      </c>
      <c r="L247">
        <v>931</v>
      </c>
      <c r="M247">
        <v>549</v>
      </c>
      <c r="N247">
        <v>549</v>
      </c>
      <c r="O247">
        <v>0</v>
      </c>
      <c r="P247">
        <v>1</v>
      </c>
      <c r="Q247">
        <v>5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549</v>
      </c>
      <c r="Z247">
        <v>0</v>
      </c>
      <c r="AA247">
        <v>0</v>
      </c>
      <c r="AB247">
        <v>549</v>
      </c>
      <c r="AC247">
        <v>11</v>
      </c>
      <c r="AD247">
        <v>538</v>
      </c>
      <c r="AE247">
        <v>13</v>
      </c>
      <c r="AF247">
        <v>11</v>
      </c>
      <c r="AG247">
        <v>0</v>
      </c>
      <c r="AH247">
        <v>0</v>
      </c>
      <c r="AI247">
        <v>1</v>
      </c>
      <c r="AJ247">
        <v>1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13</v>
      </c>
      <c r="AQ247">
        <v>7</v>
      </c>
      <c r="AR247">
        <v>3</v>
      </c>
      <c r="AS247">
        <v>3</v>
      </c>
      <c r="AT247">
        <v>0</v>
      </c>
      <c r="AU247">
        <v>0</v>
      </c>
      <c r="AV247">
        <v>0</v>
      </c>
      <c r="AW247">
        <v>1</v>
      </c>
      <c r="AX247">
        <v>0</v>
      </c>
      <c r="AY247">
        <v>0</v>
      </c>
      <c r="AZ247">
        <v>0</v>
      </c>
      <c r="BA247">
        <v>0</v>
      </c>
      <c r="BB247">
        <v>7</v>
      </c>
      <c r="BC247">
        <v>15</v>
      </c>
      <c r="BD247">
        <v>6</v>
      </c>
      <c r="BE247">
        <v>0</v>
      </c>
      <c r="BF247">
        <v>0</v>
      </c>
      <c r="BG247">
        <v>0</v>
      </c>
      <c r="BH247">
        <v>8</v>
      </c>
      <c r="BI247">
        <v>0</v>
      </c>
      <c r="BJ247">
        <v>0</v>
      </c>
      <c r="BK247">
        <v>0</v>
      </c>
      <c r="BL247">
        <v>0</v>
      </c>
      <c r="BM247">
        <v>1</v>
      </c>
      <c r="BN247">
        <v>15</v>
      </c>
      <c r="BO247">
        <v>155</v>
      </c>
      <c r="BP247">
        <v>35</v>
      </c>
      <c r="BQ247">
        <v>87</v>
      </c>
      <c r="BR247">
        <v>3</v>
      </c>
      <c r="BS247">
        <v>26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4</v>
      </c>
      <c r="BZ247">
        <v>155</v>
      </c>
      <c r="CA247">
        <v>10</v>
      </c>
      <c r="CB247">
        <v>8</v>
      </c>
      <c r="CC247">
        <v>0</v>
      </c>
      <c r="CD247">
        <v>0</v>
      </c>
      <c r="CE247">
        <v>0</v>
      </c>
      <c r="CF247">
        <v>2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10</v>
      </c>
      <c r="CM247">
        <v>4</v>
      </c>
      <c r="CN247">
        <v>2</v>
      </c>
      <c r="CO247">
        <v>1</v>
      </c>
      <c r="CP247">
        <v>0</v>
      </c>
      <c r="CQ247">
        <v>1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4</v>
      </c>
      <c r="CY247">
        <v>25</v>
      </c>
      <c r="CZ247">
        <v>18</v>
      </c>
      <c r="DA247">
        <v>1</v>
      </c>
      <c r="DB247">
        <v>0</v>
      </c>
      <c r="DC247">
        <v>0</v>
      </c>
      <c r="DD247">
        <v>0</v>
      </c>
      <c r="DE247">
        <v>1</v>
      </c>
      <c r="DF247">
        <v>1</v>
      </c>
      <c r="DG247">
        <v>1</v>
      </c>
      <c r="DH247">
        <v>0</v>
      </c>
      <c r="DI247">
        <v>3</v>
      </c>
      <c r="DJ247">
        <v>25</v>
      </c>
      <c r="DK247">
        <v>104</v>
      </c>
      <c r="DL247">
        <v>13</v>
      </c>
      <c r="DM247">
        <v>4</v>
      </c>
      <c r="DN247">
        <v>1</v>
      </c>
      <c r="DO247">
        <v>0</v>
      </c>
      <c r="DP247">
        <v>86</v>
      </c>
      <c r="DQ247">
        <v>0</v>
      </c>
      <c r="DR247">
        <v>0</v>
      </c>
      <c r="DS247">
        <v>0</v>
      </c>
      <c r="DT247">
        <v>0</v>
      </c>
      <c r="DU247">
        <v>0</v>
      </c>
      <c r="DV247">
        <v>104</v>
      </c>
      <c r="DW247">
        <v>202</v>
      </c>
      <c r="DX247">
        <v>0</v>
      </c>
      <c r="DY247">
        <v>2</v>
      </c>
      <c r="DZ247">
        <v>1</v>
      </c>
      <c r="EA247">
        <v>197</v>
      </c>
      <c r="EB247">
        <v>0</v>
      </c>
      <c r="EC247">
        <v>0</v>
      </c>
      <c r="ED247">
        <v>0</v>
      </c>
      <c r="EE247">
        <v>1</v>
      </c>
      <c r="EF247">
        <v>1</v>
      </c>
      <c r="EG247">
        <v>0</v>
      </c>
      <c r="EH247">
        <v>202</v>
      </c>
      <c r="EI247">
        <v>3</v>
      </c>
      <c r="EJ247">
        <v>0</v>
      </c>
      <c r="EK247">
        <v>0</v>
      </c>
      <c r="EL247">
        <v>1</v>
      </c>
      <c r="EM247">
        <v>0</v>
      </c>
      <c r="EN247">
        <v>0</v>
      </c>
      <c r="EO247">
        <v>0</v>
      </c>
      <c r="EP247">
        <v>0</v>
      </c>
      <c r="EQ247">
        <v>1</v>
      </c>
      <c r="ER247">
        <v>0</v>
      </c>
      <c r="ES247">
        <v>1</v>
      </c>
      <c r="ET247">
        <v>3</v>
      </c>
    </row>
    <row r="248" spans="1:150" ht="12.75">
      <c r="A248">
        <v>243</v>
      </c>
      <c r="B248" t="str">
        <f t="shared" si="46"/>
        <v>066201</v>
      </c>
      <c r="C248" t="str">
        <f t="shared" si="47"/>
        <v>m. Chełm</v>
      </c>
      <c r="D248" t="str">
        <f t="shared" si="48"/>
        <v>Chełm</v>
      </c>
      <c r="E248" t="str">
        <f t="shared" si="38"/>
        <v>lubelskie</v>
      </c>
      <c r="F248">
        <v>12</v>
      </c>
      <c r="G248" t="s">
        <v>38</v>
      </c>
      <c r="H248">
        <v>1535</v>
      </c>
      <c r="I248">
        <v>1535</v>
      </c>
      <c r="J248">
        <v>0</v>
      </c>
      <c r="K248">
        <v>1080</v>
      </c>
      <c r="L248">
        <v>588</v>
      </c>
      <c r="M248">
        <v>492</v>
      </c>
      <c r="N248">
        <v>492</v>
      </c>
      <c r="O248">
        <v>0</v>
      </c>
      <c r="P248">
        <v>0</v>
      </c>
      <c r="Q248">
        <v>1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492</v>
      </c>
      <c r="Z248">
        <v>0</v>
      </c>
      <c r="AA248">
        <v>0</v>
      </c>
      <c r="AB248">
        <v>492</v>
      </c>
      <c r="AC248">
        <v>10</v>
      </c>
      <c r="AD248">
        <v>482</v>
      </c>
      <c r="AE248">
        <v>6</v>
      </c>
      <c r="AF248">
        <v>5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1</v>
      </c>
      <c r="AO248">
        <v>0</v>
      </c>
      <c r="AP248">
        <v>6</v>
      </c>
      <c r="AQ248">
        <v>10</v>
      </c>
      <c r="AR248">
        <v>10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10</v>
      </c>
      <c r="BC248">
        <v>32</v>
      </c>
      <c r="BD248">
        <v>18</v>
      </c>
      <c r="BE248">
        <v>1</v>
      </c>
      <c r="BF248">
        <v>2</v>
      </c>
      <c r="BG248">
        <v>0</v>
      </c>
      <c r="BH248">
        <v>11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32</v>
      </c>
      <c r="BO248">
        <v>105</v>
      </c>
      <c r="BP248">
        <v>24</v>
      </c>
      <c r="BQ248">
        <v>59</v>
      </c>
      <c r="BR248">
        <v>1</v>
      </c>
      <c r="BS248">
        <v>20</v>
      </c>
      <c r="BT248">
        <v>0</v>
      </c>
      <c r="BU248">
        <v>0</v>
      </c>
      <c r="BV248">
        <v>1</v>
      </c>
      <c r="BW248">
        <v>0</v>
      </c>
      <c r="BX248">
        <v>0</v>
      </c>
      <c r="BY248">
        <v>0</v>
      </c>
      <c r="BZ248">
        <v>105</v>
      </c>
      <c r="CA248">
        <v>13</v>
      </c>
      <c r="CB248">
        <v>12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1</v>
      </c>
      <c r="CL248">
        <v>13</v>
      </c>
      <c r="CM248">
        <v>6</v>
      </c>
      <c r="CN248">
        <v>4</v>
      </c>
      <c r="CO248">
        <v>0</v>
      </c>
      <c r="CP248">
        <v>0</v>
      </c>
      <c r="CQ248">
        <v>0</v>
      </c>
      <c r="CR248">
        <v>2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6</v>
      </c>
      <c r="CY248">
        <v>20</v>
      </c>
      <c r="CZ248">
        <v>6</v>
      </c>
      <c r="DA248">
        <v>0</v>
      </c>
      <c r="DB248">
        <v>0</v>
      </c>
      <c r="DC248">
        <v>0</v>
      </c>
      <c r="DD248">
        <v>1</v>
      </c>
      <c r="DE248">
        <v>1</v>
      </c>
      <c r="DF248">
        <v>1</v>
      </c>
      <c r="DG248">
        <v>0</v>
      </c>
      <c r="DH248">
        <v>0</v>
      </c>
      <c r="DI248">
        <v>11</v>
      </c>
      <c r="DJ248">
        <v>20</v>
      </c>
      <c r="DK248">
        <v>97</v>
      </c>
      <c r="DL248">
        <v>17</v>
      </c>
      <c r="DM248">
        <v>3</v>
      </c>
      <c r="DN248">
        <v>0</v>
      </c>
      <c r="DO248">
        <v>0</v>
      </c>
      <c r="DP248">
        <v>74</v>
      </c>
      <c r="DQ248">
        <v>1</v>
      </c>
      <c r="DR248">
        <v>0</v>
      </c>
      <c r="DS248">
        <v>0</v>
      </c>
      <c r="DT248">
        <v>1</v>
      </c>
      <c r="DU248">
        <v>1</v>
      </c>
      <c r="DV248">
        <v>97</v>
      </c>
      <c r="DW248">
        <v>193</v>
      </c>
      <c r="DX248">
        <v>1</v>
      </c>
      <c r="DY248">
        <v>1</v>
      </c>
      <c r="DZ248">
        <v>3</v>
      </c>
      <c r="EA248">
        <v>188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0</v>
      </c>
      <c r="EH248">
        <v>193</v>
      </c>
      <c r="EI248">
        <v>0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0</v>
      </c>
      <c r="ES248">
        <v>0</v>
      </c>
      <c r="ET248">
        <v>0</v>
      </c>
    </row>
    <row r="249" spans="1:150" ht="12.75">
      <c r="A249">
        <v>244</v>
      </c>
      <c r="B249" t="str">
        <f t="shared" si="46"/>
        <v>066201</v>
      </c>
      <c r="C249" t="str">
        <f t="shared" si="47"/>
        <v>m. Chełm</v>
      </c>
      <c r="D249" t="str">
        <f t="shared" si="48"/>
        <v>Chełm</v>
      </c>
      <c r="E249" t="str">
        <f t="shared" si="38"/>
        <v>lubelskie</v>
      </c>
      <c r="F249">
        <v>13</v>
      </c>
      <c r="G249" t="s">
        <v>39</v>
      </c>
      <c r="H249">
        <v>1552</v>
      </c>
      <c r="I249">
        <v>1552</v>
      </c>
      <c r="J249">
        <v>0</v>
      </c>
      <c r="K249">
        <v>1100</v>
      </c>
      <c r="L249">
        <v>734</v>
      </c>
      <c r="M249">
        <v>366</v>
      </c>
      <c r="N249">
        <v>366</v>
      </c>
      <c r="O249">
        <v>0</v>
      </c>
      <c r="P249">
        <v>0</v>
      </c>
      <c r="Q249">
        <v>3</v>
      </c>
      <c r="R249">
        <v>2</v>
      </c>
      <c r="S249">
        <v>2</v>
      </c>
      <c r="T249">
        <v>0</v>
      </c>
      <c r="U249">
        <v>0</v>
      </c>
      <c r="V249">
        <v>0</v>
      </c>
      <c r="W249">
        <v>0</v>
      </c>
      <c r="X249">
        <v>2</v>
      </c>
      <c r="Y249">
        <v>368</v>
      </c>
      <c r="Z249">
        <v>2</v>
      </c>
      <c r="AA249">
        <v>0</v>
      </c>
      <c r="AB249">
        <v>368</v>
      </c>
      <c r="AC249">
        <v>8</v>
      </c>
      <c r="AD249">
        <v>360</v>
      </c>
      <c r="AE249">
        <v>6</v>
      </c>
      <c r="AF249">
        <v>3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1</v>
      </c>
      <c r="AM249">
        <v>1</v>
      </c>
      <c r="AN249">
        <v>0</v>
      </c>
      <c r="AO249">
        <v>1</v>
      </c>
      <c r="AP249">
        <v>6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7</v>
      </c>
      <c r="BD249">
        <v>3</v>
      </c>
      <c r="BE249">
        <v>0</v>
      </c>
      <c r="BF249">
        <v>0</v>
      </c>
      <c r="BG249">
        <v>0</v>
      </c>
      <c r="BH249">
        <v>2</v>
      </c>
      <c r="BI249">
        <v>0</v>
      </c>
      <c r="BJ249">
        <v>0</v>
      </c>
      <c r="BK249">
        <v>1</v>
      </c>
      <c r="BL249">
        <v>1</v>
      </c>
      <c r="BM249">
        <v>0</v>
      </c>
      <c r="BN249">
        <v>7</v>
      </c>
      <c r="BO249">
        <v>123</v>
      </c>
      <c r="BP249">
        <v>30</v>
      </c>
      <c r="BQ249">
        <v>58</v>
      </c>
      <c r="BR249">
        <v>1</v>
      </c>
      <c r="BS249">
        <v>32</v>
      </c>
      <c r="BT249">
        <v>0</v>
      </c>
      <c r="BU249">
        <v>0</v>
      </c>
      <c r="BV249">
        <v>0</v>
      </c>
      <c r="BW249">
        <v>1</v>
      </c>
      <c r="BX249">
        <v>0</v>
      </c>
      <c r="BY249">
        <v>1</v>
      </c>
      <c r="BZ249">
        <v>123</v>
      </c>
      <c r="CA249">
        <v>11</v>
      </c>
      <c r="CB249">
        <v>8</v>
      </c>
      <c r="CC249">
        <v>1</v>
      </c>
      <c r="CD249">
        <v>0</v>
      </c>
      <c r="CE249">
        <v>1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1</v>
      </c>
      <c r="CL249">
        <v>11</v>
      </c>
      <c r="CM249">
        <v>4</v>
      </c>
      <c r="CN249">
        <v>2</v>
      </c>
      <c r="CO249">
        <v>0</v>
      </c>
      <c r="CP249">
        <v>0</v>
      </c>
      <c r="CQ249">
        <v>1</v>
      </c>
      <c r="CR249">
        <v>0</v>
      </c>
      <c r="CS249">
        <v>0</v>
      </c>
      <c r="CT249">
        <v>1</v>
      </c>
      <c r="CU249">
        <v>0</v>
      </c>
      <c r="CV249">
        <v>0</v>
      </c>
      <c r="CW249">
        <v>0</v>
      </c>
      <c r="CX249">
        <v>4</v>
      </c>
      <c r="CY249">
        <v>12</v>
      </c>
      <c r="CZ249">
        <v>7</v>
      </c>
      <c r="DA249">
        <v>1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4</v>
      </c>
      <c r="DJ249">
        <v>12</v>
      </c>
      <c r="DK249">
        <v>84</v>
      </c>
      <c r="DL249">
        <v>17</v>
      </c>
      <c r="DM249">
        <v>1</v>
      </c>
      <c r="DN249">
        <v>2</v>
      </c>
      <c r="DO249">
        <v>0</v>
      </c>
      <c r="DP249">
        <v>64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84</v>
      </c>
      <c r="DW249">
        <v>113</v>
      </c>
      <c r="DX249">
        <v>0</v>
      </c>
      <c r="DY249">
        <v>1</v>
      </c>
      <c r="DZ249">
        <v>1</v>
      </c>
      <c r="EA249">
        <v>111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113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0</v>
      </c>
      <c r="ES249">
        <v>0</v>
      </c>
      <c r="ET249">
        <v>0</v>
      </c>
    </row>
    <row r="250" spans="1:150" ht="12.75">
      <c r="A250">
        <v>245</v>
      </c>
      <c r="B250" t="str">
        <f t="shared" si="46"/>
        <v>066201</v>
      </c>
      <c r="C250" t="str">
        <f t="shared" si="47"/>
        <v>m. Chełm</v>
      </c>
      <c r="D250" t="str">
        <f t="shared" si="48"/>
        <v>Chełm</v>
      </c>
      <c r="E250" t="str">
        <f t="shared" si="38"/>
        <v>lubelskie</v>
      </c>
      <c r="F250">
        <v>14</v>
      </c>
      <c r="G250" t="str">
        <f>"Szkoła Podstawowa nr 10, ul. Reformacka 13, 22-100 Chełm"</f>
        <v>Szkoła Podstawowa nr 10, ul. Reformacka 13, 22-100 Chełm</v>
      </c>
      <c r="H250">
        <v>1572</v>
      </c>
      <c r="I250">
        <v>1572</v>
      </c>
      <c r="J250">
        <v>0</v>
      </c>
      <c r="K250">
        <v>1110</v>
      </c>
      <c r="L250">
        <v>764</v>
      </c>
      <c r="M250">
        <v>346</v>
      </c>
      <c r="N250">
        <v>346</v>
      </c>
      <c r="O250">
        <v>0</v>
      </c>
      <c r="P250">
        <v>0</v>
      </c>
      <c r="Q250">
        <v>2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346</v>
      </c>
      <c r="Z250">
        <v>0</v>
      </c>
      <c r="AA250">
        <v>0</v>
      </c>
      <c r="AB250">
        <v>346</v>
      </c>
      <c r="AC250">
        <v>7</v>
      </c>
      <c r="AD250">
        <v>339</v>
      </c>
      <c r="AE250">
        <v>4</v>
      </c>
      <c r="AF250">
        <v>1</v>
      </c>
      <c r="AG250">
        <v>0</v>
      </c>
      <c r="AH250">
        <v>1</v>
      </c>
      <c r="AI250">
        <v>0</v>
      </c>
      <c r="AJ250">
        <v>0</v>
      </c>
      <c r="AK250">
        <v>1</v>
      </c>
      <c r="AL250">
        <v>1</v>
      </c>
      <c r="AM250">
        <v>0</v>
      </c>
      <c r="AN250">
        <v>0</v>
      </c>
      <c r="AO250">
        <v>0</v>
      </c>
      <c r="AP250">
        <v>4</v>
      </c>
      <c r="AQ250">
        <v>4</v>
      </c>
      <c r="AR250">
        <v>2</v>
      </c>
      <c r="AS250">
        <v>1</v>
      </c>
      <c r="AT250">
        <v>1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4</v>
      </c>
      <c r="BC250">
        <v>29</v>
      </c>
      <c r="BD250">
        <v>15</v>
      </c>
      <c r="BE250">
        <v>0</v>
      </c>
      <c r="BF250">
        <v>0</v>
      </c>
      <c r="BG250">
        <v>0</v>
      </c>
      <c r="BH250">
        <v>12</v>
      </c>
      <c r="BI250">
        <v>0</v>
      </c>
      <c r="BJ250">
        <v>1</v>
      </c>
      <c r="BK250">
        <v>0</v>
      </c>
      <c r="BL250">
        <v>1</v>
      </c>
      <c r="BM250">
        <v>0</v>
      </c>
      <c r="BN250">
        <v>29</v>
      </c>
      <c r="BO250">
        <v>88</v>
      </c>
      <c r="BP250">
        <v>19</v>
      </c>
      <c r="BQ250">
        <v>46</v>
      </c>
      <c r="BR250">
        <v>3</v>
      </c>
      <c r="BS250">
        <v>19</v>
      </c>
      <c r="BT250">
        <v>1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88</v>
      </c>
      <c r="CA250">
        <v>9</v>
      </c>
      <c r="CB250">
        <v>9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9</v>
      </c>
      <c r="CM250">
        <v>4</v>
      </c>
      <c r="CN250">
        <v>4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4</v>
      </c>
      <c r="CY250">
        <v>13</v>
      </c>
      <c r="CZ250">
        <v>7</v>
      </c>
      <c r="DA250">
        <v>0</v>
      </c>
      <c r="DB250">
        <v>0</v>
      </c>
      <c r="DC250">
        <v>2</v>
      </c>
      <c r="DD250">
        <v>1</v>
      </c>
      <c r="DE250">
        <v>0</v>
      </c>
      <c r="DF250">
        <v>0</v>
      </c>
      <c r="DG250">
        <v>0</v>
      </c>
      <c r="DH250">
        <v>0</v>
      </c>
      <c r="DI250">
        <v>3</v>
      </c>
      <c r="DJ250">
        <v>13</v>
      </c>
      <c r="DK250">
        <v>67</v>
      </c>
      <c r="DL250">
        <v>13</v>
      </c>
      <c r="DM250">
        <v>2</v>
      </c>
      <c r="DN250">
        <v>0</v>
      </c>
      <c r="DO250">
        <v>0</v>
      </c>
      <c r="DP250">
        <v>51</v>
      </c>
      <c r="DQ250">
        <v>0</v>
      </c>
      <c r="DR250">
        <v>0</v>
      </c>
      <c r="DS250">
        <v>1</v>
      </c>
      <c r="DT250">
        <v>0</v>
      </c>
      <c r="DU250">
        <v>0</v>
      </c>
      <c r="DV250">
        <v>67</v>
      </c>
      <c r="DW250">
        <v>118</v>
      </c>
      <c r="DX250">
        <v>5</v>
      </c>
      <c r="DY250">
        <v>0</v>
      </c>
      <c r="DZ250">
        <v>1</v>
      </c>
      <c r="EA250">
        <v>112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118</v>
      </c>
      <c r="EI250">
        <v>3</v>
      </c>
      <c r="EJ250">
        <v>0</v>
      </c>
      <c r="EK250">
        <v>0</v>
      </c>
      <c r="EL250">
        <v>1</v>
      </c>
      <c r="EM250">
        <v>0</v>
      </c>
      <c r="EN250">
        <v>1</v>
      </c>
      <c r="EO250">
        <v>1</v>
      </c>
      <c r="EP250">
        <v>0</v>
      </c>
      <c r="EQ250">
        <v>0</v>
      </c>
      <c r="ER250">
        <v>0</v>
      </c>
      <c r="ES250">
        <v>0</v>
      </c>
      <c r="ET250">
        <v>3</v>
      </c>
    </row>
    <row r="251" spans="1:150" ht="12.75">
      <c r="A251">
        <v>246</v>
      </c>
      <c r="B251" t="str">
        <f t="shared" si="46"/>
        <v>066201</v>
      </c>
      <c r="C251" t="str">
        <f t="shared" si="47"/>
        <v>m. Chełm</v>
      </c>
      <c r="D251" t="str">
        <f t="shared" si="48"/>
        <v>Chełm</v>
      </c>
      <c r="E251" t="str">
        <f t="shared" si="38"/>
        <v>lubelskie</v>
      </c>
      <c r="F251">
        <v>15</v>
      </c>
      <c r="G251" t="str">
        <f>"Przedszkole Miejskie nr 5, ul. Kwiatowa 1, 22-100 Chełm"</f>
        <v>Przedszkole Miejskie nr 5, ul. Kwiatowa 1, 22-100 Chełm</v>
      </c>
      <c r="H251">
        <v>1519</v>
      </c>
      <c r="I251">
        <v>1519</v>
      </c>
      <c r="J251">
        <v>0</v>
      </c>
      <c r="K251">
        <v>1070</v>
      </c>
      <c r="L251">
        <v>679</v>
      </c>
      <c r="M251">
        <v>391</v>
      </c>
      <c r="N251">
        <v>391</v>
      </c>
      <c r="O251">
        <v>0</v>
      </c>
      <c r="P251">
        <v>1</v>
      </c>
      <c r="Q251">
        <v>4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391</v>
      </c>
      <c r="Z251">
        <v>0</v>
      </c>
      <c r="AA251">
        <v>0</v>
      </c>
      <c r="AB251">
        <v>391</v>
      </c>
      <c r="AC251">
        <v>13</v>
      </c>
      <c r="AD251">
        <v>378</v>
      </c>
      <c r="AE251">
        <v>5</v>
      </c>
      <c r="AF251">
        <v>3</v>
      </c>
      <c r="AG251">
        <v>1</v>
      </c>
      <c r="AH251">
        <v>0</v>
      </c>
      <c r="AI251">
        <v>0</v>
      </c>
      <c r="AJ251">
        <v>0</v>
      </c>
      <c r="AK251">
        <v>1</v>
      </c>
      <c r="AL251">
        <v>0</v>
      </c>
      <c r="AM251">
        <v>0</v>
      </c>
      <c r="AN251">
        <v>0</v>
      </c>
      <c r="AO251">
        <v>0</v>
      </c>
      <c r="AP251">
        <v>5</v>
      </c>
      <c r="AQ251">
        <v>1</v>
      </c>
      <c r="AR251">
        <v>1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1</v>
      </c>
      <c r="BC251">
        <v>23</v>
      </c>
      <c r="BD251">
        <v>17</v>
      </c>
      <c r="BE251">
        <v>0</v>
      </c>
      <c r="BF251">
        <v>1</v>
      </c>
      <c r="BG251">
        <v>0</v>
      </c>
      <c r="BH251">
        <v>4</v>
      </c>
      <c r="BI251">
        <v>0</v>
      </c>
      <c r="BJ251">
        <v>0</v>
      </c>
      <c r="BK251">
        <v>0</v>
      </c>
      <c r="BL251">
        <v>0</v>
      </c>
      <c r="BM251">
        <v>1</v>
      </c>
      <c r="BN251">
        <v>23</v>
      </c>
      <c r="BO251">
        <v>93</v>
      </c>
      <c r="BP251">
        <v>23</v>
      </c>
      <c r="BQ251">
        <v>41</v>
      </c>
      <c r="BR251">
        <v>3</v>
      </c>
      <c r="BS251">
        <v>23</v>
      </c>
      <c r="BT251">
        <v>0</v>
      </c>
      <c r="BU251">
        <v>0</v>
      </c>
      <c r="BV251">
        <v>1</v>
      </c>
      <c r="BW251">
        <v>0</v>
      </c>
      <c r="BX251">
        <v>0</v>
      </c>
      <c r="BY251">
        <v>2</v>
      </c>
      <c r="BZ251">
        <v>93</v>
      </c>
      <c r="CA251">
        <v>8</v>
      </c>
      <c r="CB251">
        <v>5</v>
      </c>
      <c r="CC251">
        <v>1</v>
      </c>
      <c r="CD251">
        <v>0</v>
      </c>
      <c r="CE251">
        <v>2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8</v>
      </c>
      <c r="CM251">
        <v>7</v>
      </c>
      <c r="CN251">
        <v>7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7</v>
      </c>
      <c r="CY251">
        <v>8</v>
      </c>
      <c r="CZ251">
        <v>7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1</v>
      </c>
      <c r="DJ251">
        <v>8</v>
      </c>
      <c r="DK251">
        <v>82</v>
      </c>
      <c r="DL251">
        <v>13</v>
      </c>
      <c r="DM251">
        <v>3</v>
      </c>
      <c r="DN251">
        <v>0</v>
      </c>
      <c r="DO251">
        <v>0</v>
      </c>
      <c r="DP251">
        <v>64</v>
      </c>
      <c r="DQ251">
        <v>0</v>
      </c>
      <c r="DR251">
        <v>0</v>
      </c>
      <c r="DS251">
        <v>0</v>
      </c>
      <c r="DT251">
        <v>0</v>
      </c>
      <c r="DU251">
        <v>2</v>
      </c>
      <c r="DV251">
        <v>82</v>
      </c>
      <c r="DW251">
        <v>149</v>
      </c>
      <c r="DX251">
        <v>1</v>
      </c>
      <c r="DY251">
        <v>3</v>
      </c>
      <c r="DZ251">
        <v>0</v>
      </c>
      <c r="EA251">
        <v>144</v>
      </c>
      <c r="EB251">
        <v>0</v>
      </c>
      <c r="EC251">
        <v>0</v>
      </c>
      <c r="ED251">
        <v>1</v>
      </c>
      <c r="EE251">
        <v>0</v>
      </c>
      <c r="EF251">
        <v>0</v>
      </c>
      <c r="EG251">
        <v>0</v>
      </c>
      <c r="EH251">
        <v>149</v>
      </c>
      <c r="EI251">
        <v>2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0</v>
      </c>
      <c r="EP251">
        <v>0</v>
      </c>
      <c r="EQ251">
        <v>0</v>
      </c>
      <c r="ER251">
        <v>0</v>
      </c>
      <c r="ES251">
        <v>2</v>
      </c>
      <c r="ET251">
        <v>2</v>
      </c>
    </row>
    <row r="252" spans="1:150" ht="12.75">
      <c r="A252">
        <v>247</v>
      </c>
      <c r="B252" t="str">
        <f t="shared" si="46"/>
        <v>066201</v>
      </c>
      <c r="C252" t="str">
        <f t="shared" si="47"/>
        <v>m. Chełm</v>
      </c>
      <c r="D252" t="str">
        <f t="shared" si="48"/>
        <v>Chełm</v>
      </c>
      <c r="E252" t="str">
        <f t="shared" si="38"/>
        <v>lubelskie</v>
      </c>
      <c r="F252">
        <v>16</v>
      </c>
      <c r="G252" t="str">
        <f>"Szkoła Podstawowa nr 2, ul. Obłońska 51, 22-100 Chełm"</f>
        <v>Szkoła Podstawowa nr 2, ul. Obłońska 51, 22-100 Chełm</v>
      </c>
      <c r="H252">
        <v>1732</v>
      </c>
      <c r="I252">
        <v>1732</v>
      </c>
      <c r="J252">
        <v>0</v>
      </c>
      <c r="K252">
        <v>1240</v>
      </c>
      <c r="L252">
        <v>856</v>
      </c>
      <c r="M252">
        <v>384</v>
      </c>
      <c r="N252">
        <v>384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384</v>
      </c>
      <c r="Z252">
        <v>0</v>
      </c>
      <c r="AA252">
        <v>0</v>
      </c>
      <c r="AB252">
        <v>384</v>
      </c>
      <c r="AC252">
        <v>14</v>
      </c>
      <c r="AD252">
        <v>370</v>
      </c>
      <c r="AE252">
        <v>3</v>
      </c>
      <c r="AF252">
        <v>1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1</v>
      </c>
      <c r="AN252">
        <v>0</v>
      </c>
      <c r="AO252">
        <v>1</v>
      </c>
      <c r="AP252">
        <v>3</v>
      </c>
      <c r="AQ252">
        <v>4</v>
      </c>
      <c r="AR252">
        <v>3</v>
      </c>
      <c r="AS252">
        <v>1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4</v>
      </c>
      <c r="BC252">
        <v>12</v>
      </c>
      <c r="BD252">
        <v>5</v>
      </c>
      <c r="BE252">
        <v>1</v>
      </c>
      <c r="BF252">
        <v>1</v>
      </c>
      <c r="BG252">
        <v>0</v>
      </c>
      <c r="BH252">
        <v>5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12</v>
      </c>
      <c r="BO252">
        <v>105</v>
      </c>
      <c r="BP252">
        <v>19</v>
      </c>
      <c r="BQ252">
        <v>40</v>
      </c>
      <c r="BR252">
        <v>2</v>
      </c>
      <c r="BS252">
        <v>38</v>
      </c>
      <c r="BT252">
        <v>0</v>
      </c>
      <c r="BU252">
        <v>3</v>
      </c>
      <c r="BV252">
        <v>0</v>
      </c>
      <c r="BW252">
        <v>1</v>
      </c>
      <c r="BX252">
        <v>0</v>
      </c>
      <c r="BY252">
        <v>2</v>
      </c>
      <c r="BZ252">
        <v>105</v>
      </c>
      <c r="CA252">
        <v>5</v>
      </c>
      <c r="CB252">
        <v>4</v>
      </c>
      <c r="CC252">
        <v>0</v>
      </c>
      <c r="CD252">
        <v>0</v>
      </c>
      <c r="CE252">
        <v>1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5</v>
      </c>
      <c r="CM252">
        <v>4</v>
      </c>
      <c r="CN252">
        <v>3</v>
      </c>
      <c r="CO252">
        <v>0</v>
      </c>
      <c r="CP252">
        <v>0</v>
      </c>
      <c r="CQ252">
        <v>0</v>
      </c>
      <c r="CR252">
        <v>1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4</v>
      </c>
      <c r="CY252">
        <v>20</v>
      </c>
      <c r="CZ252">
        <v>9</v>
      </c>
      <c r="DA252">
        <v>0</v>
      </c>
      <c r="DB252">
        <v>1</v>
      </c>
      <c r="DC252">
        <v>0</v>
      </c>
      <c r="DD252">
        <v>0</v>
      </c>
      <c r="DE252">
        <v>1</v>
      </c>
      <c r="DF252">
        <v>1</v>
      </c>
      <c r="DG252">
        <v>0</v>
      </c>
      <c r="DH252">
        <v>0</v>
      </c>
      <c r="DI252">
        <v>8</v>
      </c>
      <c r="DJ252">
        <v>20</v>
      </c>
      <c r="DK252">
        <v>65</v>
      </c>
      <c r="DL252">
        <v>13</v>
      </c>
      <c r="DM252">
        <v>1</v>
      </c>
      <c r="DN252">
        <v>1</v>
      </c>
      <c r="DO252">
        <v>0</v>
      </c>
      <c r="DP252">
        <v>50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65</v>
      </c>
      <c r="DW252">
        <v>152</v>
      </c>
      <c r="DX252">
        <v>0</v>
      </c>
      <c r="DY252">
        <v>3</v>
      </c>
      <c r="DZ252">
        <v>0</v>
      </c>
      <c r="EA252">
        <v>149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152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0</v>
      </c>
      <c r="ES252">
        <v>0</v>
      </c>
      <c r="ET252">
        <v>0</v>
      </c>
    </row>
    <row r="253" spans="1:150" ht="12.75">
      <c r="A253">
        <v>248</v>
      </c>
      <c r="B253" t="str">
        <f t="shared" si="46"/>
        <v>066201</v>
      </c>
      <c r="C253" t="str">
        <f t="shared" si="47"/>
        <v>m. Chełm</v>
      </c>
      <c r="D253" t="str">
        <f t="shared" si="48"/>
        <v>Chełm</v>
      </c>
      <c r="E253" t="str">
        <f t="shared" si="38"/>
        <v>lubelskie</v>
      </c>
      <c r="F253">
        <v>17</v>
      </c>
      <c r="G253" t="str">
        <f>"I Liceum Ogólnokształcące, ul. Stefana Czarnieckiego 8, 22-100 Chełm"</f>
        <v>I Liceum Ogólnokształcące, ul. Stefana Czarnieckiego 8, 22-100 Chełm</v>
      </c>
      <c r="H253">
        <v>985</v>
      </c>
      <c r="I253">
        <v>985</v>
      </c>
      <c r="J253">
        <v>0</v>
      </c>
      <c r="K253">
        <v>699</v>
      </c>
      <c r="L253">
        <v>461</v>
      </c>
      <c r="M253">
        <v>238</v>
      </c>
      <c r="N253">
        <v>238</v>
      </c>
      <c r="O253">
        <v>0</v>
      </c>
      <c r="P253">
        <v>1</v>
      </c>
      <c r="Q253">
        <v>1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238</v>
      </c>
      <c r="Z253">
        <v>0</v>
      </c>
      <c r="AA253">
        <v>0</v>
      </c>
      <c r="AB253">
        <v>238</v>
      </c>
      <c r="AC253">
        <v>3</v>
      </c>
      <c r="AD253">
        <v>235</v>
      </c>
      <c r="AE253">
        <v>6</v>
      </c>
      <c r="AF253">
        <v>4</v>
      </c>
      <c r="AG253">
        <v>2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6</v>
      </c>
      <c r="AQ253">
        <v>3</v>
      </c>
      <c r="AR253">
        <v>3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3</v>
      </c>
      <c r="BC253">
        <v>16</v>
      </c>
      <c r="BD253">
        <v>8</v>
      </c>
      <c r="BE253">
        <v>1</v>
      </c>
      <c r="BF253">
        <v>0</v>
      </c>
      <c r="BG253">
        <v>1</v>
      </c>
      <c r="BH253">
        <v>4</v>
      </c>
      <c r="BI253">
        <v>0</v>
      </c>
      <c r="BJ253">
        <v>0</v>
      </c>
      <c r="BK253">
        <v>0</v>
      </c>
      <c r="BL253">
        <v>2</v>
      </c>
      <c r="BM253">
        <v>0</v>
      </c>
      <c r="BN253">
        <v>16</v>
      </c>
      <c r="BO253">
        <v>80</v>
      </c>
      <c r="BP253">
        <v>20</v>
      </c>
      <c r="BQ253">
        <v>37</v>
      </c>
      <c r="BR253">
        <v>2</v>
      </c>
      <c r="BS253">
        <v>19</v>
      </c>
      <c r="BT253">
        <v>0</v>
      </c>
      <c r="BU253">
        <v>0</v>
      </c>
      <c r="BV253">
        <v>1</v>
      </c>
      <c r="BW253">
        <v>1</v>
      </c>
      <c r="BX253">
        <v>0</v>
      </c>
      <c r="BY253">
        <v>0</v>
      </c>
      <c r="BZ253">
        <v>80</v>
      </c>
      <c r="CA253">
        <v>4</v>
      </c>
      <c r="CB253">
        <v>2</v>
      </c>
      <c r="CC253">
        <v>2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4</v>
      </c>
      <c r="CM253">
        <v>2</v>
      </c>
      <c r="CN253">
        <v>0</v>
      </c>
      <c r="CO253">
        <v>0</v>
      </c>
      <c r="CP253">
        <v>0</v>
      </c>
      <c r="CQ253">
        <v>1</v>
      </c>
      <c r="CR253">
        <v>0</v>
      </c>
      <c r="CS253">
        <v>0</v>
      </c>
      <c r="CT253">
        <v>1</v>
      </c>
      <c r="CU253">
        <v>0</v>
      </c>
      <c r="CV253">
        <v>0</v>
      </c>
      <c r="CW253">
        <v>0</v>
      </c>
      <c r="CX253">
        <v>2</v>
      </c>
      <c r="CY253">
        <v>3</v>
      </c>
      <c r="CZ253">
        <v>2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1</v>
      </c>
      <c r="DJ253">
        <v>3</v>
      </c>
      <c r="DK253">
        <v>37</v>
      </c>
      <c r="DL253">
        <v>4</v>
      </c>
      <c r="DM253">
        <v>2</v>
      </c>
      <c r="DN253">
        <v>1</v>
      </c>
      <c r="DO253">
        <v>0</v>
      </c>
      <c r="DP253">
        <v>30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37</v>
      </c>
      <c r="DW253">
        <v>83</v>
      </c>
      <c r="DX253">
        <v>1</v>
      </c>
      <c r="DY253">
        <v>3</v>
      </c>
      <c r="DZ253">
        <v>1</v>
      </c>
      <c r="EA253">
        <v>78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83</v>
      </c>
      <c r="EI253">
        <v>1</v>
      </c>
      <c r="EJ253">
        <v>1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0</v>
      </c>
      <c r="EQ253">
        <v>0</v>
      </c>
      <c r="ER253">
        <v>0</v>
      </c>
      <c r="ES253">
        <v>0</v>
      </c>
      <c r="ET253">
        <v>1</v>
      </c>
    </row>
    <row r="254" spans="1:150" ht="12.75">
      <c r="A254">
        <v>249</v>
      </c>
      <c r="B254" t="str">
        <f t="shared" si="46"/>
        <v>066201</v>
      </c>
      <c r="C254" t="str">
        <f t="shared" si="47"/>
        <v>m. Chełm</v>
      </c>
      <c r="D254" t="str">
        <f t="shared" si="48"/>
        <v>Chełm</v>
      </c>
      <c r="E254" t="str">
        <f t="shared" si="38"/>
        <v>lubelskie</v>
      </c>
      <c r="F254">
        <v>18</v>
      </c>
      <c r="G254" t="str">
        <f>"Zespół Szkół Budowlanych, ul. Stefana Batorego 1, 22-100 Chełm"</f>
        <v>Zespół Szkół Budowlanych, ul. Stefana Batorego 1, 22-100 Chełm</v>
      </c>
      <c r="H254">
        <v>1071</v>
      </c>
      <c r="I254">
        <v>1071</v>
      </c>
      <c r="J254">
        <v>0</v>
      </c>
      <c r="K254">
        <v>769</v>
      </c>
      <c r="L254">
        <v>520</v>
      </c>
      <c r="M254">
        <v>249</v>
      </c>
      <c r="N254">
        <v>249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249</v>
      </c>
      <c r="Z254">
        <v>0</v>
      </c>
      <c r="AA254">
        <v>0</v>
      </c>
      <c r="AB254">
        <v>249</v>
      </c>
      <c r="AC254">
        <v>3</v>
      </c>
      <c r="AD254">
        <v>246</v>
      </c>
      <c r="AE254">
        <v>7</v>
      </c>
      <c r="AF254">
        <v>2</v>
      </c>
      <c r="AG254">
        <v>0</v>
      </c>
      <c r="AH254">
        <v>1</v>
      </c>
      <c r="AI254">
        <v>0</v>
      </c>
      <c r="AJ254">
        <v>0</v>
      </c>
      <c r="AK254">
        <v>0</v>
      </c>
      <c r="AL254">
        <v>1</v>
      </c>
      <c r="AM254">
        <v>1</v>
      </c>
      <c r="AN254">
        <v>0</v>
      </c>
      <c r="AO254">
        <v>2</v>
      </c>
      <c r="AP254">
        <v>7</v>
      </c>
      <c r="AQ254">
        <v>5</v>
      </c>
      <c r="AR254">
        <v>4</v>
      </c>
      <c r="AS254">
        <v>0</v>
      </c>
      <c r="AT254">
        <v>0</v>
      </c>
      <c r="AU254">
        <v>1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5</v>
      </c>
      <c r="BC254">
        <v>11</v>
      </c>
      <c r="BD254">
        <v>7</v>
      </c>
      <c r="BE254">
        <v>2</v>
      </c>
      <c r="BF254">
        <v>1</v>
      </c>
      <c r="BG254">
        <v>0</v>
      </c>
      <c r="BH254">
        <v>1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11</v>
      </c>
      <c r="BO254">
        <v>64</v>
      </c>
      <c r="BP254">
        <v>15</v>
      </c>
      <c r="BQ254">
        <v>30</v>
      </c>
      <c r="BR254">
        <v>0</v>
      </c>
      <c r="BS254">
        <v>15</v>
      </c>
      <c r="BT254">
        <v>3</v>
      </c>
      <c r="BU254">
        <v>0</v>
      </c>
      <c r="BV254">
        <v>0</v>
      </c>
      <c r="BW254">
        <v>0</v>
      </c>
      <c r="BX254">
        <v>0</v>
      </c>
      <c r="BY254">
        <v>1</v>
      </c>
      <c r="BZ254">
        <v>64</v>
      </c>
      <c r="CA254">
        <v>13</v>
      </c>
      <c r="CB254">
        <v>11</v>
      </c>
      <c r="CC254">
        <v>0</v>
      </c>
      <c r="CD254">
        <v>0</v>
      </c>
      <c r="CE254">
        <v>0</v>
      </c>
      <c r="CF254">
        <v>1</v>
      </c>
      <c r="CG254">
        <v>0</v>
      </c>
      <c r="CH254">
        <v>1</v>
      </c>
      <c r="CI254">
        <v>0</v>
      </c>
      <c r="CJ254">
        <v>0</v>
      </c>
      <c r="CK254">
        <v>0</v>
      </c>
      <c r="CL254">
        <v>13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7</v>
      </c>
      <c r="CZ254">
        <v>5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2</v>
      </c>
      <c r="DJ254">
        <v>7</v>
      </c>
      <c r="DK254">
        <v>51</v>
      </c>
      <c r="DL254">
        <v>10</v>
      </c>
      <c r="DM254">
        <v>3</v>
      </c>
      <c r="DN254">
        <v>1</v>
      </c>
      <c r="DO254">
        <v>0</v>
      </c>
      <c r="DP254">
        <v>37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51</v>
      </c>
      <c r="DW254">
        <v>88</v>
      </c>
      <c r="DX254">
        <v>0</v>
      </c>
      <c r="DY254">
        <v>3</v>
      </c>
      <c r="DZ254">
        <v>0</v>
      </c>
      <c r="EA254">
        <v>85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88</v>
      </c>
      <c r="EI254">
        <v>0</v>
      </c>
      <c r="EJ254">
        <v>0</v>
      </c>
      <c r="EK254">
        <v>0</v>
      </c>
      <c r="EL254">
        <v>0</v>
      </c>
      <c r="EM254">
        <v>0</v>
      </c>
      <c r="EN254">
        <v>0</v>
      </c>
      <c r="EO254">
        <v>0</v>
      </c>
      <c r="EP254">
        <v>0</v>
      </c>
      <c r="EQ254">
        <v>0</v>
      </c>
      <c r="ER254">
        <v>0</v>
      </c>
      <c r="ES254">
        <v>0</v>
      </c>
      <c r="ET254">
        <v>0</v>
      </c>
    </row>
    <row r="255" spans="1:150" ht="12.75">
      <c r="A255">
        <v>250</v>
      </c>
      <c r="B255" t="str">
        <f t="shared" si="46"/>
        <v>066201</v>
      </c>
      <c r="C255" t="str">
        <f t="shared" si="47"/>
        <v>m. Chełm</v>
      </c>
      <c r="D255" t="str">
        <f t="shared" si="48"/>
        <v>Chełm</v>
      </c>
      <c r="E255" t="str">
        <f t="shared" si="38"/>
        <v>lubelskie</v>
      </c>
      <c r="F255">
        <v>19</v>
      </c>
      <c r="G255" t="str">
        <f>"Miejskie Przedsiębiorstwo Gospodarki Komunalnej Sp. z o.o., ul. Wołyńska 57, 22-100 Chełm"</f>
        <v>Miejskie Przedsiębiorstwo Gospodarki Komunalnej Sp. z o.o., ul. Wołyńska 57, 22-100 Chełm</v>
      </c>
      <c r="H255">
        <v>2004</v>
      </c>
      <c r="I255">
        <v>2004</v>
      </c>
      <c r="J255">
        <v>0</v>
      </c>
      <c r="K255">
        <v>1410</v>
      </c>
      <c r="L255">
        <v>903</v>
      </c>
      <c r="M255">
        <v>507</v>
      </c>
      <c r="N255">
        <v>507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507</v>
      </c>
      <c r="Z255">
        <v>0</v>
      </c>
      <c r="AA255">
        <v>0</v>
      </c>
      <c r="AB255">
        <v>507</v>
      </c>
      <c r="AC255">
        <v>15</v>
      </c>
      <c r="AD255">
        <v>492</v>
      </c>
      <c r="AE255">
        <v>6</v>
      </c>
      <c r="AF255">
        <v>3</v>
      </c>
      <c r="AG255">
        <v>2</v>
      </c>
      <c r="AH255">
        <v>0</v>
      </c>
      <c r="AI255">
        <v>0</v>
      </c>
      <c r="AJ255">
        <v>0</v>
      </c>
      <c r="AK255">
        <v>0</v>
      </c>
      <c r="AL255">
        <v>1</v>
      </c>
      <c r="AM255">
        <v>0</v>
      </c>
      <c r="AN255">
        <v>0</v>
      </c>
      <c r="AO255">
        <v>0</v>
      </c>
      <c r="AP255">
        <v>6</v>
      </c>
      <c r="AQ255">
        <v>8</v>
      </c>
      <c r="AR255">
        <v>5</v>
      </c>
      <c r="AS255">
        <v>2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1</v>
      </c>
      <c r="BB255">
        <v>8</v>
      </c>
      <c r="BC255">
        <v>19</v>
      </c>
      <c r="BD255">
        <v>11</v>
      </c>
      <c r="BE255">
        <v>1</v>
      </c>
      <c r="BF255">
        <v>1</v>
      </c>
      <c r="BG255">
        <v>0</v>
      </c>
      <c r="BH255">
        <v>5</v>
      </c>
      <c r="BI255">
        <v>0</v>
      </c>
      <c r="BJ255">
        <v>0</v>
      </c>
      <c r="BK255">
        <v>0</v>
      </c>
      <c r="BL255">
        <v>0</v>
      </c>
      <c r="BM255">
        <v>1</v>
      </c>
      <c r="BN255">
        <v>19</v>
      </c>
      <c r="BO255">
        <v>128</v>
      </c>
      <c r="BP255">
        <v>28</v>
      </c>
      <c r="BQ255">
        <v>60</v>
      </c>
      <c r="BR255">
        <v>5</v>
      </c>
      <c r="BS255">
        <v>31</v>
      </c>
      <c r="BT255">
        <v>1</v>
      </c>
      <c r="BU255">
        <v>2</v>
      </c>
      <c r="BV255">
        <v>0</v>
      </c>
      <c r="BW255">
        <v>0</v>
      </c>
      <c r="BX255">
        <v>0</v>
      </c>
      <c r="BY255">
        <v>1</v>
      </c>
      <c r="BZ255">
        <v>128</v>
      </c>
      <c r="CA255">
        <v>7</v>
      </c>
      <c r="CB255">
        <v>3</v>
      </c>
      <c r="CC255">
        <v>1</v>
      </c>
      <c r="CD255">
        <v>0</v>
      </c>
      <c r="CE255">
        <v>2</v>
      </c>
      <c r="CF255">
        <v>0</v>
      </c>
      <c r="CG255">
        <v>0</v>
      </c>
      <c r="CH255">
        <v>1</v>
      </c>
      <c r="CI255">
        <v>0</v>
      </c>
      <c r="CJ255">
        <v>0</v>
      </c>
      <c r="CK255">
        <v>0</v>
      </c>
      <c r="CL255">
        <v>7</v>
      </c>
      <c r="CM255">
        <v>10</v>
      </c>
      <c r="CN255">
        <v>9</v>
      </c>
      <c r="CO255">
        <v>0</v>
      </c>
      <c r="CP255">
        <v>1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10</v>
      </c>
      <c r="CY255">
        <v>28</v>
      </c>
      <c r="CZ255">
        <v>15</v>
      </c>
      <c r="DA255">
        <v>1</v>
      </c>
      <c r="DB255">
        <v>0</v>
      </c>
      <c r="DC255">
        <v>1</v>
      </c>
      <c r="DD255">
        <v>1</v>
      </c>
      <c r="DE255">
        <v>0</v>
      </c>
      <c r="DF255">
        <v>1</v>
      </c>
      <c r="DG255">
        <v>0</v>
      </c>
      <c r="DH255">
        <v>1</v>
      </c>
      <c r="DI255">
        <v>8</v>
      </c>
      <c r="DJ255">
        <v>28</v>
      </c>
      <c r="DK255">
        <v>97</v>
      </c>
      <c r="DL255">
        <v>19</v>
      </c>
      <c r="DM255">
        <v>3</v>
      </c>
      <c r="DN255">
        <v>0</v>
      </c>
      <c r="DO255">
        <v>0</v>
      </c>
      <c r="DP255">
        <v>73</v>
      </c>
      <c r="DQ255">
        <v>2</v>
      </c>
      <c r="DR255">
        <v>0</v>
      </c>
      <c r="DS255">
        <v>0</v>
      </c>
      <c r="DT255">
        <v>0</v>
      </c>
      <c r="DU255">
        <v>0</v>
      </c>
      <c r="DV255">
        <v>97</v>
      </c>
      <c r="DW255">
        <v>187</v>
      </c>
      <c r="DX255">
        <v>1</v>
      </c>
      <c r="DY255">
        <v>6</v>
      </c>
      <c r="DZ255">
        <v>1</v>
      </c>
      <c r="EA255">
        <v>179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187</v>
      </c>
      <c r="EI255">
        <v>2</v>
      </c>
      <c r="EJ255">
        <v>1</v>
      </c>
      <c r="EK255">
        <v>0</v>
      </c>
      <c r="EL255">
        <v>1</v>
      </c>
      <c r="EM255">
        <v>0</v>
      </c>
      <c r="EN255">
        <v>0</v>
      </c>
      <c r="EO255">
        <v>0</v>
      </c>
      <c r="EP255">
        <v>0</v>
      </c>
      <c r="EQ255">
        <v>0</v>
      </c>
      <c r="ER255">
        <v>0</v>
      </c>
      <c r="ES255">
        <v>0</v>
      </c>
      <c r="ET255">
        <v>2</v>
      </c>
    </row>
    <row r="256" spans="1:150" ht="12.75">
      <c r="A256">
        <v>251</v>
      </c>
      <c r="B256" t="str">
        <f t="shared" si="46"/>
        <v>066201</v>
      </c>
      <c r="C256" t="str">
        <f t="shared" si="47"/>
        <v>m. Chełm</v>
      </c>
      <c r="D256" t="str">
        <f t="shared" si="48"/>
        <v>Chełm</v>
      </c>
      <c r="E256" t="str">
        <f t="shared" si="38"/>
        <v>lubelskie</v>
      </c>
      <c r="F256">
        <v>20</v>
      </c>
      <c r="G256" t="str">
        <f>"Zespół Szkół Zawodowych nr 5, ul. Jagiellońska 29, 22-100 Chełm"</f>
        <v>Zespół Szkół Zawodowych nr 5, ul. Jagiellońska 29, 22-100 Chełm</v>
      </c>
      <c r="H256">
        <v>458</v>
      </c>
      <c r="I256">
        <v>458</v>
      </c>
      <c r="J256">
        <v>0</v>
      </c>
      <c r="K256">
        <v>320</v>
      </c>
      <c r="L256">
        <v>187</v>
      </c>
      <c r="M256">
        <v>133</v>
      </c>
      <c r="N256">
        <v>133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133</v>
      </c>
      <c r="Z256">
        <v>0</v>
      </c>
      <c r="AA256">
        <v>0</v>
      </c>
      <c r="AB256">
        <v>133</v>
      </c>
      <c r="AC256">
        <v>4</v>
      </c>
      <c r="AD256">
        <v>129</v>
      </c>
      <c r="AE256">
        <v>4</v>
      </c>
      <c r="AF256">
        <v>2</v>
      </c>
      <c r="AG256">
        <v>1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1</v>
      </c>
      <c r="AN256">
        <v>0</v>
      </c>
      <c r="AO256">
        <v>0</v>
      </c>
      <c r="AP256">
        <v>4</v>
      </c>
      <c r="AQ256">
        <v>1</v>
      </c>
      <c r="AR256">
        <v>1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1</v>
      </c>
      <c r="BC256">
        <v>5</v>
      </c>
      <c r="BD256">
        <v>1</v>
      </c>
      <c r="BE256">
        <v>0</v>
      </c>
      <c r="BF256">
        <v>0</v>
      </c>
      <c r="BG256">
        <v>0</v>
      </c>
      <c r="BH256">
        <v>1</v>
      </c>
      <c r="BI256">
        <v>0</v>
      </c>
      <c r="BJ256">
        <v>1</v>
      </c>
      <c r="BK256">
        <v>2</v>
      </c>
      <c r="BL256">
        <v>0</v>
      </c>
      <c r="BM256">
        <v>0</v>
      </c>
      <c r="BN256">
        <v>5</v>
      </c>
      <c r="BO256">
        <v>21</v>
      </c>
      <c r="BP256">
        <v>4</v>
      </c>
      <c r="BQ256">
        <v>15</v>
      </c>
      <c r="BR256">
        <v>0</v>
      </c>
      <c r="BS256">
        <v>2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21</v>
      </c>
      <c r="CA256">
        <v>2</v>
      </c>
      <c r="CB256">
        <v>1</v>
      </c>
      <c r="CC256">
        <v>0</v>
      </c>
      <c r="CD256">
        <v>0</v>
      </c>
      <c r="CE256">
        <v>0</v>
      </c>
      <c r="CF256">
        <v>0</v>
      </c>
      <c r="CG256">
        <v>1</v>
      </c>
      <c r="CH256">
        <v>0</v>
      </c>
      <c r="CI256">
        <v>0</v>
      </c>
      <c r="CJ256">
        <v>0</v>
      </c>
      <c r="CK256">
        <v>0</v>
      </c>
      <c r="CL256">
        <v>2</v>
      </c>
      <c r="CM256">
        <v>3</v>
      </c>
      <c r="CN256">
        <v>3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3</v>
      </c>
      <c r="CY256">
        <v>9</v>
      </c>
      <c r="CZ256">
        <v>4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1</v>
      </c>
      <c r="DG256">
        <v>0</v>
      </c>
      <c r="DH256">
        <v>0</v>
      </c>
      <c r="DI256">
        <v>4</v>
      </c>
      <c r="DJ256">
        <v>9</v>
      </c>
      <c r="DK256">
        <v>31</v>
      </c>
      <c r="DL256">
        <v>9</v>
      </c>
      <c r="DM256">
        <v>1</v>
      </c>
      <c r="DN256">
        <v>0</v>
      </c>
      <c r="DO256">
        <v>0</v>
      </c>
      <c r="DP256">
        <v>21</v>
      </c>
      <c r="DQ256">
        <v>0</v>
      </c>
      <c r="DR256">
        <v>0</v>
      </c>
      <c r="DS256">
        <v>0</v>
      </c>
      <c r="DT256">
        <v>0</v>
      </c>
      <c r="DU256">
        <v>0</v>
      </c>
      <c r="DV256">
        <v>31</v>
      </c>
      <c r="DW256">
        <v>53</v>
      </c>
      <c r="DX256">
        <v>0</v>
      </c>
      <c r="DY256">
        <v>1</v>
      </c>
      <c r="DZ256">
        <v>1</v>
      </c>
      <c r="EA256">
        <v>51</v>
      </c>
      <c r="EB256">
        <v>0</v>
      </c>
      <c r="EC256">
        <v>0</v>
      </c>
      <c r="ED256">
        <v>0</v>
      </c>
      <c r="EE256">
        <v>0</v>
      </c>
      <c r="EF256">
        <v>0</v>
      </c>
      <c r="EG256">
        <v>0</v>
      </c>
      <c r="EH256">
        <v>53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0</v>
      </c>
      <c r="ER256">
        <v>0</v>
      </c>
      <c r="ES256">
        <v>0</v>
      </c>
      <c r="ET256">
        <v>0</v>
      </c>
    </row>
    <row r="257" spans="1:150" ht="12.75">
      <c r="A257">
        <v>252</v>
      </c>
      <c r="B257" t="str">
        <f t="shared" si="46"/>
        <v>066201</v>
      </c>
      <c r="C257" t="str">
        <f t="shared" si="47"/>
        <v>m. Chełm</v>
      </c>
      <c r="D257" t="str">
        <f t="shared" si="48"/>
        <v>Chełm</v>
      </c>
      <c r="E257" t="str">
        <f t="shared" si="38"/>
        <v>lubelskie</v>
      </c>
      <c r="F257">
        <v>21</v>
      </c>
      <c r="G257" t="s">
        <v>40</v>
      </c>
      <c r="H257">
        <v>1855</v>
      </c>
      <c r="I257">
        <v>1855</v>
      </c>
      <c r="J257">
        <v>0</v>
      </c>
      <c r="K257">
        <v>1300</v>
      </c>
      <c r="L257">
        <v>721</v>
      </c>
      <c r="M257">
        <v>579</v>
      </c>
      <c r="N257">
        <v>579</v>
      </c>
      <c r="O257">
        <v>0</v>
      </c>
      <c r="P257">
        <v>1</v>
      </c>
      <c r="Q257">
        <v>2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579</v>
      </c>
      <c r="Z257">
        <v>0</v>
      </c>
      <c r="AA257">
        <v>0</v>
      </c>
      <c r="AB257">
        <v>579</v>
      </c>
      <c r="AC257">
        <v>5</v>
      </c>
      <c r="AD257">
        <v>574</v>
      </c>
      <c r="AE257">
        <v>14</v>
      </c>
      <c r="AF257">
        <v>9</v>
      </c>
      <c r="AG257">
        <v>0</v>
      </c>
      <c r="AH257">
        <v>1</v>
      </c>
      <c r="AI257">
        <v>0</v>
      </c>
      <c r="AJ257">
        <v>0</v>
      </c>
      <c r="AK257">
        <v>1</v>
      </c>
      <c r="AL257">
        <v>0</v>
      </c>
      <c r="AM257">
        <v>1</v>
      </c>
      <c r="AN257">
        <v>1</v>
      </c>
      <c r="AO257">
        <v>1</v>
      </c>
      <c r="AP257">
        <v>14</v>
      </c>
      <c r="AQ257">
        <v>3</v>
      </c>
      <c r="AR257">
        <v>3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3</v>
      </c>
      <c r="BC257">
        <v>22</v>
      </c>
      <c r="BD257">
        <v>9</v>
      </c>
      <c r="BE257">
        <v>0</v>
      </c>
      <c r="BF257">
        <v>2</v>
      </c>
      <c r="BG257">
        <v>0</v>
      </c>
      <c r="BH257">
        <v>10</v>
      </c>
      <c r="BI257">
        <v>0</v>
      </c>
      <c r="BJ257">
        <v>1</v>
      </c>
      <c r="BK257">
        <v>0</v>
      </c>
      <c r="BL257">
        <v>0</v>
      </c>
      <c r="BM257">
        <v>0</v>
      </c>
      <c r="BN257">
        <v>22</v>
      </c>
      <c r="BO257">
        <v>158</v>
      </c>
      <c r="BP257">
        <v>19</v>
      </c>
      <c r="BQ257">
        <v>90</v>
      </c>
      <c r="BR257">
        <v>2</v>
      </c>
      <c r="BS257">
        <v>46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1</v>
      </c>
      <c r="BZ257">
        <v>158</v>
      </c>
      <c r="CA257">
        <v>15</v>
      </c>
      <c r="CB257">
        <v>8</v>
      </c>
      <c r="CC257">
        <v>1</v>
      </c>
      <c r="CD257">
        <v>0</v>
      </c>
      <c r="CE257">
        <v>3</v>
      </c>
      <c r="CF257">
        <v>0</v>
      </c>
      <c r="CG257">
        <v>1</v>
      </c>
      <c r="CH257">
        <v>0</v>
      </c>
      <c r="CI257">
        <v>0</v>
      </c>
      <c r="CJ257">
        <v>0</v>
      </c>
      <c r="CK257">
        <v>2</v>
      </c>
      <c r="CL257">
        <v>15</v>
      </c>
      <c r="CM257">
        <v>7</v>
      </c>
      <c r="CN257">
        <v>5</v>
      </c>
      <c r="CO257">
        <v>1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1</v>
      </c>
      <c r="CX257">
        <v>7</v>
      </c>
      <c r="CY257">
        <v>23</v>
      </c>
      <c r="CZ257">
        <v>18</v>
      </c>
      <c r="DA257">
        <v>0</v>
      </c>
      <c r="DB257">
        <v>1</v>
      </c>
      <c r="DC257">
        <v>0</v>
      </c>
      <c r="DD257">
        <v>0</v>
      </c>
      <c r="DE257">
        <v>0</v>
      </c>
      <c r="DF257">
        <v>1</v>
      </c>
      <c r="DG257">
        <v>0</v>
      </c>
      <c r="DH257">
        <v>0</v>
      </c>
      <c r="DI257">
        <v>3</v>
      </c>
      <c r="DJ257">
        <v>23</v>
      </c>
      <c r="DK257">
        <v>118</v>
      </c>
      <c r="DL257">
        <v>26</v>
      </c>
      <c r="DM257">
        <v>7</v>
      </c>
      <c r="DN257">
        <v>1</v>
      </c>
      <c r="DO257">
        <v>0</v>
      </c>
      <c r="DP257">
        <v>82</v>
      </c>
      <c r="DQ257">
        <v>1</v>
      </c>
      <c r="DR257">
        <v>0</v>
      </c>
      <c r="DS257">
        <v>0</v>
      </c>
      <c r="DT257">
        <v>0</v>
      </c>
      <c r="DU257">
        <v>1</v>
      </c>
      <c r="DV257">
        <v>118</v>
      </c>
      <c r="DW257">
        <v>213</v>
      </c>
      <c r="DX257">
        <v>3</v>
      </c>
      <c r="DY257">
        <v>6</v>
      </c>
      <c r="DZ257">
        <v>1</v>
      </c>
      <c r="EA257">
        <v>202</v>
      </c>
      <c r="EB257">
        <v>0</v>
      </c>
      <c r="EC257">
        <v>0</v>
      </c>
      <c r="ED257">
        <v>0</v>
      </c>
      <c r="EE257">
        <v>1</v>
      </c>
      <c r="EF257">
        <v>0</v>
      </c>
      <c r="EG257">
        <v>0</v>
      </c>
      <c r="EH257">
        <v>213</v>
      </c>
      <c r="EI257">
        <v>1</v>
      </c>
      <c r="EJ257">
        <v>0</v>
      </c>
      <c r="EK257">
        <v>0</v>
      </c>
      <c r="EL257">
        <v>0</v>
      </c>
      <c r="EM257">
        <v>0</v>
      </c>
      <c r="EN257">
        <v>0</v>
      </c>
      <c r="EO257">
        <v>0</v>
      </c>
      <c r="EP257">
        <v>0</v>
      </c>
      <c r="EQ257">
        <v>0</v>
      </c>
      <c r="ER257">
        <v>0</v>
      </c>
      <c r="ES257">
        <v>1</v>
      </c>
      <c r="ET257">
        <v>1</v>
      </c>
    </row>
    <row r="258" spans="1:150" ht="12.75">
      <c r="A258">
        <v>253</v>
      </c>
      <c r="B258" t="str">
        <f t="shared" si="46"/>
        <v>066201</v>
      </c>
      <c r="C258" t="str">
        <f t="shared" si="47"/>
        <v>m. Chełm</v>
      </c>
      <c r="D258" t="str">
        <f t="shared" si="48"/>
        <v>Chełm</v>
      </c>
      <c r="E258" t="str">
        <f t="shared" si="38"/>
        <v>lubelskie</v>
      </c>
      <c r="F258">
        <v>22</v>
      </c>
      <c r="G258" t="str">
        <f>"Szkoła Podstawowa nr 4, ul. Prymasa Stefana Wyszyńskiego 15, 22-100 Chełm"</f>
        <v>Szkoła Podstawowa nr 4, ul. Prymasa Stefana Wyszyńskiego 15, 22-100 Chełm</v>
      </c>
      <c r="H258">
        <v>990</v>
      </c>
      <c r="I258">
        <v>990</v>
      </c>
      <c r="J258">
        <v>0</v>
      </c>
      <c r="K258">
        <v>699</v>
      </c>
      <c r="L258">
        <v>417</v>
      </c>
      <c r="M258">
        <v>282</v>
      </c>
      <c r="N258">
        <v>282</v>
      </c>
      <c r="O258">
        <v>0</v>
      </c>
      <c r="P258">
        <v>0</v>
      </c>
      <c r="Q258">
        <v>1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282</v>
      </c>
      <c r="Z258">
        <v>0</v>
      </c>
      <c r="AA258">
        <v>0</v>
      </c>
      <c r="AB258">
        <v>282</v>
      </c>
      <c r="AC258">
        <v>4</v>
      </c>
      <c r="AD258">
        <v>278</v>
      </c>
      <c r="AE258">
        <v>9</v>
      </c>
      <c r="AF258">
        <v>4</v>
      </c>
      <c r="AG258">
        <v>0</v>
      </c>
      <c r="AH258">
        <v>1</v>
      </c>
      <c r="AI258">
        <v>1</v>
      </c>
      <c r="AJ258">
        <v>0</v>
      </c>
      <c r="AK258">
        <v>0</v>
      </c>
      <c r="AL258">
        <v>0</v>
      </c>
      <c r="AM258">
        <v>0</v>
      </c>
      <c r="AN258">
        <v>1</v>
      </c>
      <c r="AO258">
        <v>2</v>
      </c>
      <c r="AP258">
        <v>9</v>
      </c>
      <c r="AQ258">
        <v>2</v>
      </c>
      <c r="AR258">
        <v>1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1</v>
      </c>
      <c r="AY258">
        <v>0</v>
      </c>
      <c r="AZ258">
        <v>0</v>
      </c>
      <c r="BA258">
        <v>0</v>
      </c>
      <c r="BB258">
        <v>2</v>
      </c>
      <c r="BC258">
        <v>3</v>
      </c>
      <c r="BD258">
        <v>0</v>
      </c>
      <c r="BE258">
        <v>0</v>
      </c>
      <c r="BF258">
        <v>0</v>
      </c>
      <c r="BG258">
        <v>0</v>
      </c>
      <c r="BH258">
        <v>3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3</v>
      </c>
      <c r="BO258">
        <v>94</v>
      </c>
      <c r="BP258">
        <v>19</v>
      </c>
      <c r="BQ258">
        <v>55</v>
      </c>
      <c r="BR258">
        <v>0</v>
      </c>
      <c r="BS258">
        <v>19</v>
      </c>
      <c r="BT258">
        <v>1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94</v>
      </c>
      <c r="CA258">
        <v>10</v>
      </c>
      <c r="CB258">
        <v>9</v>
      </c>
      <c r="CC258">
        <v>1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10</v>
      </c>
      <c r="CM258">
        <v>3</v>
      </c>
      <c r="CN258">
        <v>3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3</v>
      </c>
      <c r="CY258">
        <v>16</v>
      </c>
      <c r="CZ258">
        <v>9</v>
      </c>
      <c r="DA258">
        <v>0</v>
      </c>
      <c r="DB258">
        <v>2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0</v>
      </c>
      <c r="DI258">
        <v>5</v>
      </c>
      <c r="DJ258">
        <v>16</v>
      </c>
      <c r="DK258">
        <v>45</v>
      </c>
      <c r="DL258">
        <v>6</v>
      </c>
      <c r="DM258">
        <v>0</v>
      </c>
      <c r="DN258">
        <v>0</v>
      </c>
      <c r="DO258">
        <v>0</v>
      </c>
      <c r="DP258">
        <v>38</v>
      </c>
      <c r="DQ258">
        <v>0</v>
      </c>
      <c r="DR258">
        <v>0</v>
      </c>
      <c r="DS258">
        <v>0</v>
      </c>
      <c r="DT258">
        <v>1</v>
      </c>
      <c r="DU258">
        <v>0</v>
      </c>
      <c r="DV258">
        <v>45</v>
      </c>
      <c r="DW258">
        <v>96</v>
      </c>
      <c r="DX258">
        <v>4</v>
      </c>
      <c r="DY258">
        <v>0</v>
      </c>
      <c r="DZ258">
        <v>0</v>
      </c>
      <c r="EA258">
        <v>92</v>
      </c>
      <c r="EB258">
        <v>0</v>
      </c>
      <c r="EC258">
        <v>0</v>
      </c>
      <c r="ED258">
        <v>0</v>
      </c>
      <c r="EE258">
        <v>0</v>
      </c>
      <c r="EF258">
        <v>0</v>
      </c>
      <c r="EG258">
        <v>0</v>
      </c>
      <c r="EH258">
        <v>96</v>
      </c>
      <c r="EI258">
        <v>0</v>
      </c>
      <c r="EJ258">
        <v>0</v>
      </c>
      <c r="EK258">
        <v>0</v>
      </c>
      <c r="EL258">
        <v>0</v>
      </c>
      <c r="EM258">
        <v>0</v>
      </c>
      <c r="EN258">
        <v>0</v>
      </c>
      <c r="EO258">
        <v>0</v>
      </c>
      <c r="EP258">
        <v>0</v>
      </c>
      <c r="EQ258">
        <v>0</v>
      </c>
      <c r="ER258">
        <v>0</v>
      </c>
      <c r="ES258">
        <v>0</v>
      </c>
      <c r="ET258">
        <v>0</v>
      </c>
    </row>
    <row r="259" spans="1:150" ht="12.75">
      <c r="A259">
        <v>254</v>
      </c>
      <c r="B259" t="str">
        <f t="shared" si="46"/>
        <v>066201</v>
      </c>
      <c r="C259" t="str">
        <f t="shared" si="47"/>
        <v>m. Chełm</v>
      </c>
      <c r="D259" t="str">
        <f t="shared" si="48"/>
        <v>Chełm</v>
      </c>
      <c r="E259" t="str">
        <f t="shared" si="38"/>
        <v>lubelskie</v>
      </c>
      <c r="F259">
        <v>23</v>
      </c>
      <c r="G259" t="s">
        <v>41</v>
      </c>
      <c r="H259">
        <v>1607</v>
      </c>
      <c r="I259">
        <v>1607</v>
      </c>
      <c r="J259">
        <v>0</v>
      </c>
      <c r="K259">
        <v>1130</v>
      </c>
      <c r="L259">
        <v>708</v>
      </c>
      <c r="M259">
        <v>422</v>
      </c>
      <c r="N259">
        <v>422</v>
      </c>
      <c r="O259">
        <v>0</v>
      </c>
      <c r="P259">
        <v>0</v>
      </c>
      <c r="Q259">
        <v>2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422</v>
      </c>
      <c r="Z259">
        <v>0</v>
      </c>
      <c r="AA259">
        <v>0</v>
      </c>
      <c r="AB259">
        <v>422</v>
      </c>
      <c r="AC259">
        <v>3</v>
      </c>
      <c r="AD259">
        <v>419</v>
      </c>
      <c r="AE259">
        <v>5</v>
      </c>
      <c r="AF259">
        <v>3</v>
      </c>
      <c r="AG259">
        <v>0</v>
      </c>
      <c r="AH259">
        <v>1</v>
      </c>
      <c r="AI259">
        <v>1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5</v>
      </c>
      <c r="AQ259">
        <v>7</v>
      </c>
      <c r="AR259">
        <v>6</v>
      </c>
      <c r="AS259">
        <v>0</v>
      </c>
      <c r="AT259">
        <v>0</v>
      </c>
      <c r="AU259">
        <v>0</v>
      </c>
      <c r="AV259">
        <v>0</v>
      </c>
      <c r="AW259">
        <v>1</v>
      </c>
      <c r="AX259">
        <v>0</v>
      </c>
      <c r="AY259">
        <v>0</v>
      </c>
      <c r="AZ259">
        <v>0</v>
      </c>
      <c r="BA259">
        <v>0</v>
      </c>
      <c r="BB259">
        <v>7</v>
      </c>
      <c r="BC259">
        <v>28</v>
      </c>
      <c r="BD259">
        <v>6</v>
      </c>
      <c r="BE259">
        <v>0</v>
      </c>
      <c r="BF259">
        <v>0</v>
      </c>
      <c r="BG259">
        <v>1</v>
      </c>
      <c r="BH259">
        <v>20</v>
      </c>
      <c r="BI259">
        <v>0</v>
      </c>
      <c r="BJ259">
        <v>1</v>
      </c>
      <c r="BK259">
        <v>0</v>
      </c>
      <c r="BL259">
        <v>0</v>
      </c>
      <c r="BM259">
        <v>0</v>
      </c>
      <c r="BN259">
        <v>28</v>
      </c>
      <c r="BO259">
        <v>131</v>
      </c>
      <c r="BP259">
        <v>39</v>
      </c>
      <c r="BQ259">
        <v>49</v>
      </c>
      <c r="BR259">
        <v>1</v>
      </c>
      <c r="BS259">
        <v>35</v>
      </c>
      <c r="BT259">
        <v>2</v>
      </c>
      <c r="BU259">
        <v>0</v>
      </c>
      <c r="BV259">
        <v>0</v>
      </c>
      <c r="BW259">
        <v>1</v>
      </c>
      <c r="BX259">
        <v>4</v>
      </c>
      <c r="BY259">
        <v>0</v>
      </c>
      <c r="BZ259">
        <v>131</v>
      </c>
      <c r="CA259">
        <v>11</v>
      </c>
      <c r="CB259">
        <v>10</v>
      </c>
      <c r="CC259">
        <v>0</v>
      </c>
      <c r="CD259">
        <v>0</v>
      </c>
      <c r="CE259">
        <v>0</v>
      </c>
      <c r="CF259">
        <v>0</v>
      </c>
      <c r="CG259">
        <v>1</v>
      </c>
      <c r="CH259">
        <v>0</v>
      </c>
      <c r="CI259">
        <v>0</v>
      </c>
      <c r="CJ259">
        <v>0</v>
      </c>
      <c r="CK259">
        <v>0</v>
      </c>
      <c r="CL259">
        <v>11</v>
      </c>
      <c r="CM259">
        <v>7</v>
      </c>
      <c r="CN259">
        <v>5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1</v>
      </c>
      <c r="CW259">
        <v>1</v>
      </c>
      <c r="CX259">
        <v>7</v>
      </c>
      <c r="CY259">
        <v>23</v>
      </c>
      <c r="CZ259">
        <v>12</v>
      </c>
      <c r="DA259">
        <v>1</v>
      </c>
      <c r="DB259">
        <v>2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1</v>
      </c>
      <c r="DI259">
        <v>7</v>
      </c>
      <c r="DJ259">
        <v>23</v>
      </c>
      <c r="DK259">
        <v>71</v>
      </c>
      <c r="DL259">
        <v>7</v>
      </c>
      <c r="DM259">
        <v>7</v>
      </c>
      <c r="DN259">
        <v>0</v>
      </c>
      <c r="DO259">
        <v>0</v>
      </c>
      <c r="DP259">
        <v>56</v>
      </c>
      <c r="DQ259">
        <v>1</v>
      </c>
      <c r="DR259">
        <v>0</v>
      </c>
      <c r="DS259">
        <v>0</v>
      </c>
      <c r="DT259">
        <v>0</v>
      </c>
      <c r="DU259">
        <v>0</v>
      </c>
      <c r="DV259">
        <v>71</v>
      </c>
      <c r="DW259">
        <v>134</v>
      </c>
      <c r="DX259">
        <v>0</v>
      </c>
      <c r="DY259">
        <v>3</v>
      </c>
      <c r="DZ259">
        <v>0</v>
      </c>
      <c r="EA259">
        <v>131</v>
      </c>
      <c r="EB259">
        <v>0</v>
      </c>
      <c r="EC259">
        <v>0</v>
      </c>
      <c r="ED259">
        <v>0</v>
      </c>
      <c r="EE259">
        <v>0</v>
      </c>
      <c r="EF259">
        <v>0</v>
      </c>
      <c r="EG259">
        <v>0</v>
      </c>
      <c r="EH259">
        <v>134</v>
      </c>
      <c r="EI259">
        <v>2</v>
      </c>
      <c r="EJ259">
        <v>2</v>
      </c>
      <c r="EK259">
        <v>0</v>
      </c>
      <c r="EL259">
        <v>0</v>
      </c>
      <c r="EM259">
        <v>0</v>
      </c>
      <c r="EN259">
        <v>0</v>
      </c>
      <c r="EO259">
        <v>0</v>
      </c>
      <c r="EP259">
        <v>0</v>
      </c>
      <c r="EQ259">
        <v>0</v>
      </c>
      <c r="ER259">
        <v>0</v>
      </c>
      <c r="ES259">
        <v>0</v>
      </c>
      <c r="ET259">
        <v>2</v>
      </c>
    </row>
    <row r="260" spans="1:150" ht="12.75">
      <c r="A260">
        <v>255</v>
      </c>
      <c r="B260" t="str">
        <f t="shared" si="46"/>
        <v>066201</v>
      </c>
      <c r="C260" t="str">
        <f t="shared" si="47"/>
        <v>m. Chełm</v>
      </c>
      <c r="D260" t="str">
        <f t="shared" si="48"/>
        <v>Chełm</v>
      </c>
      <c r="E260" t="str">
        <f t="shared" si="38"/>
        <v>lubelskie</v>
      </c>
      <c r="F260">
        <v>24</v>
      </c>
      <c r="G260" t="str">
        <f>"Państwowa Wyższa Szkoła Zawodowa, ul. Wojsławicka 8b, 22-100 Chełm"</f>
        <v>Państwowa Wyższa Szkoła Zawodowa, ul. Wojsławicka 8b, 22-100 Chełm</v>
      </c>
      <c r="H260">
        <v>1361</v>
      </c>
      <c r="I260">
        <v>1361</v>
      </c>
      <c r="J260">
        <v>0</v>
      </c>
      <c r="K260">
        <v>960</v>
      </c>
      <c r="L260">
        <v>618</v>
      </c>
      <c r="M260">
        <v>342</v>
      </c>
      <c r="N260">
        <v>342</v>
      </c>
      <c r="O260">
        <v>0</v>
      </c>
      <c r="P260">
        <v>0</v>
      </c>
      <c r="Q260">
        <v>4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342</v>
      </c>
      <c r="Z260">
        <v>0</v>
      </c>
      <c r="AA260">
        <v>0</v>
      </c>
      <c r="AB260">
        <v>342</v>
      </c>
      <c r="AC260">
        <v>4</v>
      </c>
      <c r="AD260">
        <v>338</v>
      </c>
      <c r="AE260">
        <v>2</v>
      </c>
      <c r="AF260">
        <v>0</v>
      </c>
      <c r="AG260">
        <v>0</v>
      </c>
      <c r="AH260">
        <v>1</v>
      </c>
      <c r="AI260">
        <v>0</v>
      </c>
      <c r="AJ260">
        <v>0</v>
      </c>
      <c r="AK260">
        <v>0</v>
      </c>
      <c r="AL260">
        <v>1</v>
      </c>
      <c r="AM260">
        <v>0</v>
      </c>
      <c r="AN260">
        <v>0</v>
      </c>
      <c r="AO260">
        <v>0</v>
      </c>
      <c r="AP260">
        <v>2</v>
      </c>
      <c r="AQ260">
        <v>2</v>
      </c>
      <c r="AR260">
        <v>0</v>
      </c>
      <c r="AS260">
        <v>0</v>
      </c>
      <c r="AT260">
        <v>2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2</v>
      </c>
      <c r="BC260">
        <v>20</v>
      </c>
      <c r="BD260">
        <v>5</v>
      </c>
      <c r="BE260">
        <v>1</v>
      </c>
      <c r="BF260">
        <v>3</v>
      </c>
      <c r="BG260">
        <v>0</v>
      </c>
      <c r="BH260">
        <v>9</v>
      </c>
      <c r="BI260">
        <v>0</v>
      </c>
      <c r="BJ260">
        <v>0</v>
      </c>
      <c r="BK260">
        <v>0</v>
      </c>
      <c r="BL260">
        <v>1</v>
      </c>
      <c r="BM260">
        <v>1</v>
      </c>
      <c r="BN260">
        <v>20</v>
      </c>
      <c r="BO260">
        <v>74</v>
      </c>
      <c r="BP260">
        <v>17</v>
      </c>
      <c r="BQ260">
        <v>48</v>
      </c>
      <c r="BR260">
        <v>0</v>
      </c>
      <c r="BS260">
        <v>8</v>
      </c>
      <c r="BT260">
        <v>0</v>
      </c>
      <c r="BU260">
        <v>0</v>
      </c>
      <c r="BV260">
        <v>0</v>
      </c>
      <c r="BW260">
        <v>1</v>
      </c>
      <c r="BX260">
        <v>0</v>
      </c>
      <c r="BY260">
        <v>0</v>
      </c>
      <c r="BZ260">
        <v>74</v>
      </c>
      <c r="CA260">
        <v>8</v>
      </c>
      <c r="CB260">
        <v>6</v>
      </c>
      <c r="CC260">
        <v>1</v>
      </c>
      <c r="CD260">
        <v>0</v>
      </c>
      <c r="CE260">
        <v>0</v>
      </c>
      <c r="CF260">
        <v>1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8</v>
      </c>
      <c r="CM260">
        <v>6</v>
      </c>
      <c r="CN260">
        <v>3</v>
      </c>
      <c r="CO260">
        <v>0</v>
      </c>
      <c r="CP260">
        <v>1</v>
      </c>
      <c r="CQ260">
        <v>0</v>
      </c>
      <c r="CR260">
        <v>0</v>
      </c>
      <c r="CS260">
        <v>0</v>
      </c>
      <c r="CT260">
        <v>2</v>
      </c>
      <c r="CU260">
        <v>0</v>
      </c>
      <c r="CV260">
        <v>0</v>
      </c>
      <c r="CW260">
        <v>0</v>
      </c>
      <c r="CX260">
        <v>6</v>
      </c>
      <c r="CY260">
        <v>19</v>
      </c>
      <c r="CZ260">
        <v>13</v>
      </c>
      <c r="DA260">
        <v>1</v>
      </c>
      <c r="DB260">
        <v>1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4</v>
      </c>
      <c r="DJ260">
        <v>19</v>
      </c>
      <c r="DK260">
        <v>73</v>
      </c>
      <c r="DL260">
        <v>12</v>
      </c>
      <c r="DM260">
        <v>0</v>
      </c>
      <c r="DN260">
        <v>2</v>
      </c>
      <c r="DO260">
        <v>0</v>
      </c>
      <c r="DP260">
        <v>59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73</v>
      </c>
      <c r="DW260">
        <v>134</v>
      </c>
      <c r="DX260">
        <v>0</v>
      </c>
      <c r="DY260">
        <v>4</v>
      </c>
      <c r="DZ260">
        <v>3</v>
      </c>
      <c r="EA260">
        <v>127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134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0</v>
      </c>
      <c r="ER260">
        <v>0</v>
      </c>
      <c r="ES260">
        <v>0</v>
      </c>
      <c r="ET260">
        <v>0</v>
      </c>
    </row>
    <row r="261" spans="1:150" ht="12.75">
      <c r="A261">
        <v>256</v>
      </c>
      <c r="B261" t="str">
        <f t="shared" si="46"/>
        <v>066201</v>
      </c>
      <c r="C261" t="str">
        <f t="shared" si="47"/>
        <v>m. Chełm</v>
      </c>
      <c r="D261" t="str">
        <f t="shared" si="48"/>
        <v>Chełm</v>
      </c>
      <c r="E261" t="str">
        <f t="shared" si="38"/>
        <v>lubelskie</v>
      </c>
      <c r="F261">
        <v>25</v>
      </c>
      <c r="G261" t="str">
        <f>"Zespół Szkół Ogólnokształcących nr 6, ul. Powstańców Warszawy 10, 22-100 Chełm"</f>
        <v>Zespół Szkół Ogólnokształcących nr 6, ul. Powstańców Warszawy 10, 22-100 Chełm</v>
      </c>
      <c r="H261">
        <v>1829</v>
      </c>
      <c r="I261">
        <v>1829</v>
      </c>
      <c r="J261">
        <v>0</v>
      </c>
      <c r="K261">
        <v>1295</v>
      </c>
      <c r="L261">
        <v>739</v>
      </c>
      <c r="M261">
        <v>556</v>
      </c>
      <c r="N261">
        <v>556</v>
      </c>
      <c r="O261">
        <v>0</v>
      </c>
      <c r="P261">
        <v>1</v>
      </c>
      <c r="Q261">
        <v>2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556</v>
      </c>
      <c r="Z261">
        <v>0</v>
      </c>
      <c r="AA261">
        <v>0</v>
      </c>
      <c r="AB261">
        <v>556</v>
      </c>
      <c r="AC261">
        <v>8</v>
      </c>
      <c r="AD261">
        <v>548</v>
      </c>
      <c r="AE261">
        <v>6</v>
      </c>
      <c r="AF261">
        <v>4</v>
      </c>
      <c r="AG261">
        <v>1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1</v>
      </c>
      <c r="AN261">
        <v>0</v>
      </c>
      <c r="AO261">
        <v>0</v>
      </c>
      <c r="AP261">
        <v>6</v>
      </c>
      <c r="AQ261">
        <v>3</v>
      </c>
      <c r="AR261">
        <v>3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3</v>
      </c>
      <c r="BC261">
        <v>37</v>
      </c>
      <c r="BD261">
        <v>10</v>
      </c>
      <c r="BE261">
        <v>2</v>
      </c>
      <c r="BF261">
        <v>1</v>
      </c>
      <c r="BG261">
        <v>0</v>
      </c>
      <c r="BH261">
        <v>22</v>
      </c>
      <c r="BI261">
        <v>0</v>
      </c>
      <c r="BJ261">
        <v>0</v>
      </c>
      <c r="BK261">
        <v>0</v>
      </c>
      <c r="BL261">
        <v>2</v>
      </c>
      <c r="BM261">
        <v>0</v>
      </c>
      <c r="BN261">
        <v>37</v>
      </c>
      <c r="BO261">
        <v>166</v>
      </c>
      <c r="BP261">
        <v>48</v>
      </c>
      <c r="BQ261">
        <v>72</v>
      </c>
      <c r="BR261">
        <v>2</v>
      </c>
      <c r="BS261">
        <v>38</v>
      </c>
      <c r="BT261">
        <v>0</v>
      </c>
      <c r="BU261">
        <v>2</v>
      </c>
      <c r="BV261">
        <v>0</v>
      </c>
      <c r="BW261">
        <v>0</v>
      </c>
      <c r="BX261">
        <v>1</v>
      </c>
      <c r="BY261">
        <v>3</v>
      </c>
      <c r="BZ261">
        <v>166</v>
      </c>
      <c r="CA261">
        <v>6</v>
      </c>
      <c r="CB261">
        <v>6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6</v>
      </c>
      <c r="CM261">
        <v>3</v>
      </c>
      <c r="CN261">
        <v>2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1</v>
      </c>
      <c r="CV261">
        <v>0</v>
      </c>
      <c r="CW261">
        <v>0</v>
      </c>
      <c r="CX261">
        <v>3</v>
      </c>
      <c r="CY261">
        <v>28</v>
      </c>
      <c r="CZ261">
        <v>14</v>
      </c>
      <c r="DA261">
        <v>0</v>
      </c>
      <c r="DB261">
        <v>1</v>
      </c>
      <c r="DC261">
        <v>0</v>
      </c>
      <c r="DD261">
        <v>2</v>
      </c>
      <c r="DE261">
        <v>0</v>
      </c>
      <c r="DF261">
        <v>0</v>
      </c>
      <c r="DG261">
        <v>0</v>
      </c>
      <c r="DH261">
        <v>0</v>
      </c>
      <c r="DI261">
        <v>11</v>
      </c>
      <c r="DJ261">
        <v>28</v>
      </c>
      <c r="DK261">
        <v>88</v>
      </c>
      <c r="DL261">
        <v>18</v>
      </c>
      <c r="DM261">
        <v>3</v>
      </c>
      <c r="DN261">
        <v>1</v>
      </c>
      <c r="DO261">
        <v>2</v>
      </c>
      <c r="DP261">
        <v>63</v>
      </c>
      <c r="DQ261">
        <v>1</v>
      </c>
      <c r="DR261">
        <v>0</v>
      </c>
      <c r="DS261">
        <v>0</v>
      </c>
      <c r="DT261">
        <v>0</v>
      </c>
      <c r="DU261">
        <v>0</v>
      </c>
      <c r="DV261">
        <v>88</v>
      </c>
      <c r="DW261">
        <v>211</v>
      </c>
      <c r="DX261">
        <v>3</v>
      </c>
      <c r="DY261">
        <v>7</v>
      </c>
      <c r="DZ261">
        <v>0</v>
      </c>
      <c r="EA261">
        <v>201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0</v>
      </c>
      <c r="EH261">
        <v>211</v>
      </c>
      <c r="EI261">
        <v>0</v>
      </c>
      <c r="EJ261">
        <v>0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0</v>
      </c>
      <c r="ER261">
        <v>0</v>
      </c>
      <c r="ES261">
        <v>0</v>
      </c>
      <c r="ET261">
        <v>0</v>
      </c>
    </row>
    <row r="262" spans="1:150" ht="12.75">
      <c r="A262">
        <v>257</v>
      </c>
      <c r="B262" t="str">
        <f t="shared" si="46"/>
        <v>066201</v>
      </c>
      <c r="C262" t="str">
        <f t="shared" si="47"/>
        <v>m. Chełm</v>
      </c>
      <c r="D262" t="str">
        <f t="shared" si="48"/>
        <v>Chełm</v>
      </c>
      <c r="E262" t="str">
        <f aca="true" t="shared" si="49" ref="E262:E272">"lubelskie"</f>
        <v>lubelskie</v>
      </c>
      <c r="F262">
        <v>26</v>
      </c>
      <c r="G262" t="str">
        <f>"Przedszkole Miejskie nr 14, ul. Generała Stefana Grota-Roweckiego 4b, 22-100 Chełm"</f>
        <v>Przedszkole Miejskie nr 14, ul. Generała Stefana Grota-Roweckiego 4b, 22-100 Chełm</v>
      </c>
      <c r="H262">
        <v>1991</v>
      </c>
      <c r="I262">
        <v>1991</v>
      </c>
      <c r="J262">
        <v>0</v>
      </c>
      <c r="K262">
        <v>1400</v>
      </c>
      <c r="L262">
        <v>762</v>
      </c>
      <c r="M262">
        <v>638</v>
      </c>
      <c r="N262">
        <v>638</v>
      </c>
      <c r="O262">
        <v>0</v>
      </c>
      <c r="P262">
        <v>0</v>
      </c>
      <c r="Q262">
        <v>1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638</v>
      </c>
      <c r="Z262">
        <v>0</v>
      </c>
      <c r="AA262">
        <v>0</v>
      </c>
      <c r="AB262">
        <v>638</v>
      </c>
      <c r="AC262">
        <v>9</v>
      </c>
      <c r="AD262">
        <v>629</v>
      </c>
      <c r="AE262">
        <v>5</v>
      </c>
      <c r="AF262">
        <v>1</v>
      </c>
      <c r="AG262">
        <v>0</v>
      </c>
      <c r="AH262">
        <v>2</v>
      </c>
      <c r="AI262">
        <v>0</v>
      </c>
      <c r="AJ262">
        <v>0</v>
      </c>
      <c r="AK262">
        <v>0</v>
      </c>
      <c r="AL262">
        <v>0</v>
      </c>
      <c r="AM262">
        <v>1</v>
      </c>
      <c r="AN262">
        <v>0</v>
      </c>
      <c r="AO262">
        <v>1</v>
      </c>
      <c r="AP262">
        <v>5</v>
      </c>
      <c r="AQ262">
        <v>5</v>
      </c>
      <c r="AR262">
        <v>4</v>
      </c>
      <c r="AS262">
        <v>0</v>
      </c>
      <c r="AT262">
        <v>0</v>
      </c>
      <c r="AU262">
        <v>0</v>
      </c>
      <c r="AV262">
        <v>0</v>
      </c>
      <c r="AW262">
        <v>1</v>
      </c>
      <c r="AX262">
        <v>0</v>
      </c>
      <c r="AY262">
        <v>0</v>
      </c>
      <c r="AZ262">
        <v>0</v>
      </c>
      <c r="BA262">
        <v>0</v>
      </c>
      <c r="BB262">
        <v>5</v>
      </c>
      <c r="BC262">
        <v>19</v>
      </c>
      <c r="BD262">
        <v>8</v>
      </c>
      <c r="BE262">
        <v>0</v>
      </c>
      <c r="BF262">
        <v>0</v>
      </c>
      <c r="BG262">
        <v>0</v>
      </c>
      <c r="BH262">
        <v>11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19</v>
      </c>
      <c r="BO262">
        <v>169</v>
      </c>
      <c r="BP262">
        <v>59</v>
      </c>
      <c r="BQ262">
        <v>58</v>
      </c>
      <c r="BR262">
        <v>1</v>
      </c>
      <c r="BS262">
        <v>40</v>
      </c>
      <c r="BT262">
        <v>3</v>
      </c>
      <c r="BU262">
        <v>0</v>
      </c>
      <c r="BV262">
        <v>0</v>
      </c>
      <c r="BW262">
        <v>4</v>
      </c>
      <c r="BX262">
        <v>1</v>
      </c>
      <c r="BY262">
        <v>3</v>
      </c>
      <c r="BZ262">
        <v>169</v>
      </c>
      <c r="CA262">
        <v>20</v>
      </c>
      <c r="CB262">
        <v>14</v>
      </c>
      <c r="CC262">
        <v>2</v>
      </c>
      <c r="CD262">
        <v>0</v>
      </c>
      <c r="CE262">
        <v>3</v>
      </c>
      <c r="CF262">
        <v>0</v>
      </c>
      <c r="CG262">
        <v>0</v>
      </c>
      <c r="CH262">
        <v>0</v>
      </c>
      <c r="CI262">
        <v>0</v>
      </c>
      <c r="CJ262">
        <v>1</v>
      </c>
      <c r="CK262">
        <v>0</v>
      </c>
      <c r="CL262">
        <v>20</v>
      </c>
      <c r="CM262">
        <v>3</v>
      </c>
      <c r="CN262">
        <v>3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3</v>
      </c>
      <c r="CY262">
        <v>17</v>
      </c>
      <c r="CZ262">
        <v>7</v>
      </c>
      <c r="DA262">
        <v>1</v>
      </c>
      <c r="DB262">
        <v>1</v>
      </c>
      <c r="DC262">
        <v>0</v>
      </c>
      <c r="DD262">
        <v>1</v>
      </c>
      <c r="DE262">
        <v>0</v>
      </c>
      <c r="DF262">
        <v>0</v>
      </c>
      <c r="DG262">
        <v>0</v>
      </c>
      <c r="DH262">
        <v>0</v>
      </c>
      <c r="DI262">
        <v>7</v>
      </c>
      <c r="DJ262">
        <v>17</v>
      </c>
      <c r="DK262">
        <v>137</v>
      </c>
      <c r="DL262">
        <v>27</v>
      </c>
      <c r="DM262">
        <v>6</v>
      </c>
      <c r="DN262">
        <v>4</v>
      </c>
      <c r="DO262">
        <v>1</v>
      </c>
      <c r="DP262">
        <v>97</v>
      </c>
      <c r="DQ262">
        <v>1</v>
      </c>
      <c r="DR262">
        <v>0</v>
      </c>
      <c r="DS262">
        <v>0</v>
      </c>
      <c r="DT262">
        <v>1</v>
      </c>
      <c r="DU262">
        <v>0</v>
      </c>
      <c r="DV262">
        <v>137</v>
      </c>
      <c r="DW262">
        <v>254</v>
      </c>
      <c r="DX262">
        <v>5</v>
      </c>
      <c r="DY262">
        <v>2</v>
      </c>
      <c r="DZ262">
        <v>3</v>
      </c>
      <c r="EA262">
        <v>244</v>
      </c>
      <c r="EB262">
        <v>0</v>
      </c>
      <c r="EC262">
        <v>0</v>
      </c>
      <c r="ED262">
        <v>0</v>
      </c>
      <c r="EE262">
        <v>0</v>
      </c>
      <c r="EF262">
        <v>0</v>
      </c>
      <c r="EG262">
        <v>0</v>
      </c>
      <c r="EH262">
        <v>254</v>
      </c>
      <c r="EI262">
        <v>0</v>
      </c>
      <c r="EJ262">
        <v>0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0</v>
      </c>
      <c r="EQ262">
        <v>0</v>
      </c>
      <c r="ER262">
        <v>0</v>
      </c>
      <c r="ES262">
        <v>0</v>
      </c>
      <c r="ET262">
        <v>0</v>
      </c>
    </row>
    <row r="263" spans="1:150" ht="12.75">
      <c r="A263">
        <v>258</v>
      </c>
      <c r="B263" t="str">
        <f t="shared" si="46"/>
        <v>066201</v>
      </c>
      <c r="C263" t="str">
        <f t="shared" si="47"/>
        <v>m. Chełm</v>
      </c>
      <c r="D263" t="str">
        <f t="shared" si="48"/>
        <v>Chełm</v>
      </c>
      <c r="E263" t="str">
        <f t="shared" si="49"/>
        <v>lubelskie</v>
      </c>
      <c r="F263">
        <v>27</v>
      </c>
      <c r="G263" t="str">
        <f>"Przedszkole Miejskie nr 15, ul. Henryka Wieniawskiego 3, 22-100 Chełm"</f>
        <v>Przedszkole Miejskie nr 15, ul. Henryka Wieniawskiego 3, 22-100 Chełm</v>
      </c>
      <c r="H263">
        <v>1653</v>
      </c>
      <c r="I263">
        <v>1653</v>
      </c>
      <c r="J263">
        <v>0</v>
      </c>
      <c r="K263">
        <v>1170</v>
      </c>
      <c r="L263">
        <v>723</v>
      </c>
      <c r="M263">
        <v>447</v>
      </c>
      <c r="N263">
        <v>447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447</v>
      </c>
      <c r="Z263">
        <v>0</v>
      </c>
      <c r="AA263">
        <v>0</v>
      </c>
      <c r="AB263">
        <v>447</v>
      </c>
      <c r="AC263">
        <v>12</v>
      </c>
      <c r="AD263">
        <v>435</v>
      </c>
      <c r="AE263">
        <v>5</v>
      </c>
      <c r="AF263">
        <v>1</v>
      </c>
      <c r="AG263">
        <v>0</v>
      </c>
      <c r="AH263">
        <v>0</v>
      </c>
      <c r="AI263">
        <v>0</v>
      </c>
      <c r="AJ263">
        <v>0</v>
      </c>
      <c r="AK263">
        <v>1</v>
      </c>
      <c r="AL263">
        <v>1</v>
      </c>
      <c r="AM263">
        <v>0</v>
      </c>
      <c r="AN263">
        <v>0</v>
      </c>
      <c r="AO263">
        <v>2</v>
      </c>
      <c r="AP263">
        <v>5</v>
      </c>
      <c r="AQ263">
        <v>4</v>
      </c>
      <c r="AR263">
        <v>3</v>
      </c>
      <c r="AS263">
        <v>1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4</v>
      </c>
      <c r="BC263">
        <v>19</v>
      </c>
      <c r="BD263">
        <v>9</v>
      </c>
      <c r="BE263">
        <v>1</v>
      </c>
      <c r="BF263">
        <v>0</v>
      </c>
      <c r="BG263">
        <v>0</v>
      </c>
      <c r="BH263">
        <v>9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19</v>
      </c>
      <c r="BO263">
        <v>110</v>
      </c>
      <c r="BP263">
        <v>31</v>
      </c>
      <c r="BQ263">
        <v>41</v>
      </c>
      <c r="BR263">
        <v>7</v>
      </c>
      <c r="BS263">
        <v>24</v>
      </c>
      <c r="BT263">
        <v>2</v>
      </c>
      <c r="BU263">
        <v>0</v>
      </c>
      <c r="BV263">
        <v>1</v>
      </c>
      <c r="BW263">
        <v>3</v>
      </c>
      <c r="BX263">
        <v>0</v>
      </c>
      <c r="BY263">
        <v>1</v>
      </c>
      <c r="BZ263">
        <v>110</v>
      </c>
      <c r="CA263">
        <v>8</v>
      </c>
      <c r="CB263">
        <v>6</v>
      </c>
      <c r="CC263">
        <v>0</v>
      </c>
      <c r="CD263">
        <v>0</v>
      </c>
      <c r="CE263">
        <v>1</v>
      </c>
      <c r="CF263">
        <v>1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8</v>
      </c>
      <c r="CM263">
        <v>8</v>
      </c>
      <c r="CN263">
        <v>8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8</v>
      </c>
      <c r="CY263">
        <v>22</v>
      </c>
      <c r="CZ263">
        <v>16</v>
      </c>
      <c r="DA263">
        <v>1</v>
      </c>
      <c r="DB263">
        <v>0</v>
      </c>
      <c r="DC263">
        <v>1</v>
      </c>
      <c r="DD263">
        <v>1</v>
      </c>
      <c r="DE263">
        <v>0</v>
      </c>
      <c r="DF263">
        <v>0</v>
      </c>
      <c r="DG263">
        <v>0</v>
      </c>
      <c r="DH263">
        <v>0</v>
      </c>
      <c r="DI263">
        <v>3</v>
      </c>
      <c r="DJ263">
        <v>22</v>
      </c>
      <c r="DK263">
        <v>84</v>
      </c>
      <c r="DL263">
        <v>17</v>
      </c>
      <c r="DM263">
        <v>1</v>
      </c>
      <c r="DN263">
        <v>1</v>
      </c>
      <c r="DO263">
        <v>0</v>
      </c>
      <c r="DP263">
        <v>63</v>
      </c>
      <c r="DQ263">
        <v>0</v>
      </c>
      <c r="DR263">
        <v>1</v>
      </c>
      <c r="DS263">
        <v>0</v>
      </c>
      <c r="DT263">
        <v>0</v>
      </c>
      <c r="DU263">
        <v>1</v>
      </c>
      <c r="DV263">
        <v>84</v>
      </c>
      <c r="DW263">
        <v>175</v>
      </c>
      <c r="DX263">
        <v>5</v>
      </c>
      <c r="DY263">
        <v>3</v>
      </c>
      <c r="DZ263">
        <v>1</v>
      </c>
      <c r="EA263">
        <v>165</v>
      </c>
      <c r="EB263">
        <v>0</v>
      </c>
      <c r="EC263">
        <v>0</v>
      </c>
      <c r="ED263">
        <v>0</v>
      </c>
      <c r="EE263">
        <v>1</v>
      </c>
      <c r="EF263">
        <v>0</v>
      </c>
      <c r="EG263">
        <v>0</v>
      </c>
      <c r="EH263">
        <v>175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  <c r="ET263">
        <v>0</v>
      </c>
    </row>
    <row r="264" spans="1:150" ht="12.75">
      <c r="A264">
        <v>259</v>
      </c>
      <c r="B264" t="str">
        <f t="shared" si="46"/>
        <v>066201</v>
      </c>
      <c r="C264" t="str">
        <f t="shared" si="47"/>
        <v>m. Chełm</v>
      </c>
      <c r="D264" t="str">
        <f t="shared" si="48"/>
        <v>Chełm</v>
      </c>
      <c r="E264" t="str">
        <f t="shared" si="49"/>
        <v>lubelskie</v>
      </c>
      <c r="F264">
        <v>28</v>
      </c>
      <c r="G264" t="str">
        <f>"Biblioteka Pedagogiczna, ul. Henryka Wieniawskiego 15, 22-100 Chełm"</f>
        <v>Biblioteka Pedagogiczna, ul. Henryka Wieniawskiego 15, 22-100 Chełm</v>
      </c>
      <c r="H264">
        <v>2148</v>
      </c>
      <c r="I264">
        <v>2148</v>
      </c>
      <c r="J264">
        <v>0</v>
      </c>
      <c r="K264">
        <v>1500</v>
      </c>
      <c r="L264">
        <v>895</v>
      </c>
      <c r="M264">
        <v>605</v>
      </c>
      <c r="N264">
        <v>605</v>
      </c>
      <c r="O264">
        <v>0</v>
      </c>
      <c r="P264">
        <v>0</v>
      </c>
      <c r="Q264">
        <v>2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605</v>
      </c>
      <c r="Z264">
        <v>0</v>
      </c>
      <c r="AA264">
        <v>0</v>
      </c>
      <c r="AB264">
        <v>605</v>
      </c>
      <c r="AC264">
        <v>12</v>
      </c>
      <c r="AD264">
        <v>593</v>
      </c>
      <c r="AE264">
        <v>8</v>
      </c>
      <c r="AF264">
        <v>2</v>
      </c>
      <c r="AG264">
        <v>2</v>
      </c>
      <c r="AH264">
        <v>1</v>
      </c>
      <c r="AI264">
        <v>0</v>
      </c>
      <c r="AJ264">
        <v>0</v>
      </c>
      <c r="AK264">
        <v>1</v>
      </c>
      <c r="AL264">
        <v>0</v>
      </c>
      <c r="AM264">
        <v>0</v>
      </c>
      <c r="AN264">
        <v>0</v>
      </c>
      <c r="AO264">
        <v>2</v>
      </c>
      <c r="AP264">
        <v>8</v>
      </c>
      <c r="AQ264">
        <v>10</v>
      </c>
      <c r="AR264">
        <v>7</v>
      </c>
      <c r="AS264">
        <v>2</v>
      </c>
      <c r="AT264">
        <v>0</v>
      </c>
      <c r="AU264">
        <v>0</v>
      </c>
      <c r="AV264">
        <v>0</v>
      </c>
      <c r="AW264">
        <v>1</v>
      </c>
      <c r="AX264">
        <v>0</v>
      </c>
      <c r="AY264">
        <v>0</v>
      </c>
      <c r="AZ264">
        <v>0</v>
      </c>
      <c r="BA264">
        <v>0</v>
      </c>
      <c r="BB264">
        <v>10</v>
      </c>
      <c r="BC264">
        <v>22</v>
      </c>
      <c r="BD264">
        <v>11</v>
      </c>
      <c r="BE264">
        <v>0</v>
      </c>
      <c r="BF264">
        <v>0</v>
      </c>
      <c r="BG264">
        <v>0</v>
      </c>
      <c r="BH264">
        <v>9</v>
      </c>
      <c r="BI264">
        <v>0</v>
      </c>
      <c r="BJ264">
        <v>1</v>
      </c>
      <c r="BK264">
        <v>1</v>
      </c>
      <c r="BL264">
        <v>0</v>
      </c>
      <c r="BM264">
        <v>0</v>
      </c>
      <c r="BN264">
        <v>22</v>
      </c>
      <c r="BO264">
        <v>125</v>
      </c>
      <c r="BP264">
        <v>29</v>
      </c>
      <c r="BQ264">
        <v>67</v>
      </c>
      <c r="BR264">
        <v>2</v>
      </c>
      <c r="BS264">
        <v>26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1</v>
      </c>
      <c r="BZ264">
        <v>125</v>
      </c>
      <c r="CA264">
        <v>14</v>
      </c>
      <c r="CB264">
        <v>11</v>
      </c>
      <c r="CC264">
        <v>1</v>
      </c>
      <c r="CD264">
        <v>0</v>
      </c>
      <c r="CE264">
        <v>1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1</v>
      </c>
      <c r="CL264">
        <v>14</v>
      </c>
      <c r="CM264">
        <v>2</v>
      </c>
      <c r="CN264">
        <v>1</v>
      </c>
      <c r="CO264">
        <v>0</v>
      </c>
      <c r="CP264">
        <v>1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2</v>
      </c>
      <c r="CY264">
        <v>42</v>
      </c>
      <c r="CZ264">
        <v>23</v>
      </c>
      <c r="DA264">
        <v>3</v>
      </c>
      <c r="DB264">
        <v>2</v>
      </c>
      <c r="DC264">
        <v>1</v>
      </c>
      <c r="DD264">
        <v>1</v>
      </c>
      <c r="DE264">
        <v>1</v>
      </c>
      <c r="DF264">
        <v>1</v>
      </c>
      <c r="DG264">
        <v>0</v>
      </c>
      <c r="DH264">
        <v>0</v>
      </c>
      <c r="DI264">
        <v>10</v>
      </c>
      <c r="DJ264">
        <v>42</v>
      </c>
      <c r="DK264">
        <v>136</v>
      </c>
      <c r="DL264">
        <v>18</v>
      </c>
      <c r="DM264">
        <v>3</v>
      </c>
      <c r="DN264">
        <v>0</v>
      </c>
      <c r="DO264">
        <v>0</v>
      </c>
      <c r="DP264">
        <v>114</v>
      </c>
      <c r="DQ264">
        <v>1</v>
      </c>
      <c r="DR264">
        <v>0</v>
      </c>
      <c r="DS264">
        <v>0</v>
      </c>
      <c r="DT264">
        <v>0</v>
      </c>
      <c r="DU264">
        <v>0</v>
      </c>
      <c r="DV264">
        <v>136</v>
      </c>
      <c r="DW264">
        <v>230</v>
      </c>
      <c r="DX264">
        <v>1</v>
      </c>
      <c r="DY264">
        <v>6</v>
      </c>
      <c r="DZ264">
        <v>2</v>
      </c>
      <c r="EA264">
        <v>220</v>
      </c>
      <c r="EB264">
        <v>0</v>
      </c>
      <c r="EC264">
        <v>0</v>
      </c>
      <c r="ED264">
        <v>0</v>
      </c>
      <c r="EE264">
        <v>0</v>
      </c>
      <c r="EF264">
        <v>0</v>
      </c>
      <c r="EG264">
        <v>1</v>
      </c>
      <c r="EH264">
        <v>230</v>
      </c>
      <c r="EI264">
        <v>4</v>
      </c>
      <c r="EJ264">
        <v>1</v>
      </c>
      <c r="EK264">
        <v>0</v>
      </c>
      <c r="EL264">
        <v>0</v>
      </c>
      <c r="EM264">
        <v>0</v>
      </c>
      <c r="EN264">
        <v>0</v>
      </c>
      <c r="EO264">
        <v>0</v>
      </c>
      <c r="EP264">
        <v>0</v>
      </c>
      <c r="EQ264">
        <v>1</v>
      </c>
      <c r="ER264">
        <v>0</v>
      </c>
      <c r="ES264">
        <v>2</v>
      </c>
      <c r="ET264">
        <v>4</v>
      </c>
    </row>
    <row r="265" spans="1:150" ht="12.75">
      <c r="A265">
        <v>260</v>
      </c>
      <c r="B265" t="str">
        <f t="shared" si="46"/>
        <v>066201</v>
      </c>
      <c r="C265" t="str">
        <f t="shared" si="47"/>
        <v>m. Chełm</v>
      </c>
      <c r="D265" t="str">
        <f t="shared" si="48"/>
        <v>Chełm</v>
      </c>
      <c r="E265" t="str">
        <f t="shared" si="49"/>
        <v>lubelskie</v>
      </c>
      <c r="F265">
        <v>29</v>
      </c>
      <c r="G265" t="str">
        <f>"Lokal HSM Sp. z o.o. Zawadówka (była kaplica Parafii pw. Świętej Rodziny), ul. Karola Szymanowskiego 6, 22-100 Chełm"</f>
        <v>Lokal HSM Sp. z o.o. Zawadówka (była kaplica Parafii pw. Świętej Rodziny), ul. Karola Szymanowskiego 6, 22-100 Chełm</v>
      </c>
      <c r="H265">
        <v>1665</v>
      </c>
      <c r="I265">
        <v>1665</v>
      </c>
      <c r="J265">
        <v>0</v>
      </c>
      <c r="K265">
        <v>1170</v>
      </c>
      <c r="L265">
        <v>695</v>
      </c>
      <c r="M265">
        <v>475</v>
      </c>
      <c r="N265">
        <v>475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475</v>
      </c>
      <c r="Z265">
        <v>0</v>
      </c>
      <c r="AA265">
        <v>0</v>
      </c>
      <c r="AB265">
        <v>475</v>
      </c>
      <c r="AC265">
        <v>17</v>
      </c>
      <c r="AD265">
        <v>458</v>
      </c>
      <c r="AE265">
        <v>5</v>
      </c>
      <c r="AF265">
        <v>3</v>
      </c>
      <c r="AG265">
        <v>0</v>
      </c>
      <c r="AH265">
        <v>0</v>
      </c>
      <c r="AI265">
        <v>1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1</v>
      </c>
      <c r="AP265">
        <v>5</v>
      </c>
      <c r="AQ265">
        <v>3</v>
      </c>
      <c r="AR265">
        <v>2</v>
      </c>
      <c r="AS265">
        <v>1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3</v>
      </c>
      <c r="BC265">
        <v>17</v>
      </c>
      <c r="BD265">
        <v>7</v>
      </c>
      <c r="BE265">
        <v>3</v>
      </c>
      <c r="BF265">
        <v>0</v>
      </c>
      <c r="BG265">
        <v>0</v>
      </c>
      <c r="BH265">
        <v>6</v>
      </c>
      <c r="BI265">
        <v>0</v>
      </c>
      <c r="BJ265">
        <v>1</v>
      </c>
      <c r="BK265">
        <v>0</v>
      </c>
      <c r="BL265">
        <v>0</v>
      </c>
      <c r="BM265">
        <v>0</v>
      </c>
      <c r="BN265">
        <v>17</v>
      </c>
      <c r="BO265">
        <v>95</v>
      </c>
      <c r="BP265">
        <v>22</v>
      </c>
      <c r="BQ265">
        <v>45</v>
      </c>
      <c r="BR265">
        <v>2</v>
      </c>
      <c r="BS265">
        <v>21</v>
      </c>
      <c r="BT265">
        <v>0</v>
      </c>
      <c r="BU265">
        <v>0</v>
      </c>
      <c r="BV265">
        <v>1</v>
      </c>
      <c r="BW265">
        <v>1</v>
      </c>
      <c r="BX265">
        <v>0</v>
      </c>
      <c r="BY265">
        <v>3</v>
      </c>
      <c r="BZ265">
        <v>95</v>
      </c>
      <c r="CA265">
        <v>9</v>
      </c>
      <c r="CB265">
        <v>6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2</v>
      </c>
      <c r="CI265">
        <v>0</v>
      </c>
      <c r="CJ265">
        <v>0</v>
      </c>
      <c r="CK265">
        <v>1</v>
      </c>
      <c r="CL265">
        <v>9</v>
      </c>
      <c r="CM265">
        <v>6</v>
      </c>
      <c r="CN265">
        <v>5</v>
      </c>
      <c r="CO265">
        <v>1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6</v>
      </c>
      <c r="CY265">
        <v>14</v>
      </c>
      <c r="CZ265">
        <v>4</v>
      </c>
      <c r="DA265">
        <v>1</v>
      </c>
      <c r="DB265">
        <v>1</v>
      </c>
      <c r="DC265">
        <v>0</v>
      </c>
      <c r="DD265">
        <v>0</v>
      </c>
      <c r="DE265">
        <v>1</v>
      </c>
      <c r="DF265">
        <v>0</v>
      </c>
      <c r="DG265">
        <v>0</v>
      </c>
      <c r="DH265">
        <v>1</v>
      </c>
      <c r="DI265">
        <v>6</v>
      </c>
      <c r="DJ265">
        <v>14</v>
      </c>
      <c r="DK265">
        <v>102</v>
      </c>
      <c r="DL265">
        <v>24</v>
      </c>
      <c r="DM265">
        <v>2</v>
      </c>
      <c r="DN265">
        <v>1</v>
      </c>
      <c r="DO265">
        <v>0</v>
      </c>
      <c r="DP265">
        <v>74</v>
      </c>
      <c r="DQ265">
        <v>0</v>
      </c>
      <c r="DR265">
        <v>0</v>
      </c>
      <c r="DS265">
        <v>0</v>
      </c>
      <c r="DT265">
        <v>1</v>
      </c>
      <c r="DU265">
        <v>0</v>
      </c>
      <c r="DV265">
        <v>102</v>
      </c>
      <c r="DW265">
        <v>206</v>
      </c>
      <c r="DX265">
        <v>3</v>
      </c>
      <c r="DY265">
        <v>7</v>
      </c>
      <c r="DZ265">
        <v>0</v>
      </c>
      <c r="EA265">
        <v>196</v>
      </c>
      <c r="EB265">
        <v>0</v>
      </c>
      <c r="EC265">
        <v>0</v>
      </c>
      <c r="ED265">
        <v>0</v>
      </c>
      <c r="EE265">
        <v>0</v>
      </c>
      <c r="EF265">
        <v>0</v>
      </c>
      <c r="EG265">
        <v>0</v>
      </c>
      <c r="EH265">
        <v>206</v>
      </c>
      <c r="EI265">
        <v>1</v>
      </c>
      <c r="EJ265">
        <v>0</v>
      </c>
      <c r="EK265">
        <v>0</v>
      </c>
      <c r="EL265">
        <v>0</v>
      </c>
      <c r="EM265">
        <v>0</v>
      </c>
      <c r="EN265">
        <v>0</v>
      </c>
      <c r="EO265">
        <v>0</v>
      </c>
      <c r="EP265">
        <v>1</v>
      </c>
      <c r="EQ265">
        <v>0</v>
      </c>
      <c r="ER265">
        <v>0</v>
      </c>
      <c r="ES265">
        <v>0</v>
      </c>
      <c r="ET265">
        <v>1</v>
      </c>
    </row>
    <row r="266" spans="1:150" ht="12.75">
      <c r="A266">
        <v>261</v>
      </c>
      <c r="B266" t="str">
        <f t="shared" si="46"/>
        <v>066201</v>
      </c>
      <c r="C266" t="str">
        <f t="shared" si="47"/>
        <v>m. Chełm</v>
      </c>
      <c r="D266" t="str">
        <f t="shared" si="48"/>
        <v>Chełm</v>
      </c>
      <c r="E266" t="str">
        <f t="shared" si="49"/>
        <v>lubelskie</v>
      </c>
      <c r="F266">
        <v>30</v>
      </c>
      <c r="G266" t="str">
        <f>"Przedszkole Miejskie Nr 13, ul. Połaniecka 5, 22-100 Chełm"</f>
        <v>Przedszkole Miejskie Nr 13, ul. Połaniecka 5, 22-100 Chełm</v>
      </c>
      <c r="H266">
        <v>1668</v>
      </c>
      <c r="I266">
        <v>1668</v>
      </c>
      <c r="J266">
        <v>0</v>
      </c>
      <c r="K266">
        <v>1178</v>
      </c>
      <c r="L266">
        <v>670</v>
      </c>
      <c r="M266">
        <v>508</v>
      </c>
      <c r="N266">
        <v>508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508</v>
      </c>
      <c r="Z266">
        <v>0</v>
      </c>
      <c r="AA266">
        <v>0</v>
      </c>
      <c r="AB266">
        <v>508</v>
      </c>
      <c r="AC266">
        <v>7</v>
      </c>
      <c r="AD266">
        <v>501</v>
      </c>
      <c r="AE266">
        <v>3</v>
      </c>
      <c r="AF266">
        <v>2</v>
      </c>
      <c r="AG266">
        <v>0</v>
      </c>
      <c r="AH266">
        <v>0</v>
      </c>
      <c r="AI266">
        <v>0</v>
      </c>
      <c r="AJ266">
        <v>0</v>
      </c>
      <c r="AK266">
        <v>1</v>
      </c>
      <c r="AL266">
        <v>0</v>
      </c>
      <c r="AM266">
        <v>0</v>
      </c>
      <c r="AN266">
        <v>0</v>
      </c>
      <c r="AO266">
        <v>0</v>
      </c>
      <c r="AP266">
        <v>3</v>
      </c>
      <c r="AQ266">
        <v>2</v>
      </c>
      <c r="AR266">
        <v>1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1</v>
      </c>
      <c r="BA266">
        <v>0</v>
      </c>
      <c r="BB266">
        <v>2</v>
      </c>
      <c r="BC266">
        <v>33</v>
      </c>
      <c r="BD266">
        <v>15</v>
      </c>
      <c r="BE266">
        <v>1</v>
      </c>
      <c r="BF266">
        <v>5</v>
      </c>
      <c r="BG266">
        <v>0</v>
      </c>
      <c r="BH266">
        <v>9</v>
      </c>
      <c r="BI266">
        <v>0</v>
      </c>
      <c r="BJ266">
        <v>0</v>
      </c>
      <c r="BK266">
        <v>2</v>
      </c>
      <c r="BL266">
        <v>1</v>
      </c>
      <c r="BM266">
        <v>0</v>
      </c>
      <c r="BN266">
        <v>33</v>
      </c>
      <c r="BO266">
        <v>127</v>
      </c>
      <c r="BP266">
        <v>21</v>
      </c>
      <c r="BQ266">
        <v>81</v>
      </c>
      <c r="BR266">
        <v>0</v>
      </c>
      <c r="BS266">
        <v>21</v>
      </c>
      <c r="BT266">
        <v>1</v>
      </c>
      <c r="BU266">
        <v>0</v>
      </c>
      <c r="BV266">
        <v>0</v>
      </c>
      <c r="BW266">
        <v>1</v>
      </c>
      <c r="BX266">
        <v>1</v>
      </c>
      <c r="BY266">
        <v>1</v>
      </c>
      <c r="BZ266">
        <v>127</v>
      </c>
      <c r="CA266">
        <v>8</v>
      </c>
      <c r="CB266">
        <v>7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1</v>
      </c>
      <c r="CI266">
        <v>0</v>
      </c>
      <c r="CJ266">
        <v>0</v>
      </c>
      <c r="CK266">
        <v>0</v>
      </c>
      <c r="CL266">
        <v>8</v>
      </c>
      <c r="CM266">
        <v>4</v>
      </c>
      <c r="CN266">
        <v>3</v>
      </c>
      <c r="CO266">
        <v>0</v>
      </c>
      <c r="CP266">
        <v>1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4</v>
      </c>
      <c r="CY266">
        <v>19</v>
      </c>
      <c r="CZ266">
        <v>8</v>
      </c>
      <c r="DA266">
        <v>1</v>
      </c>
      <c r="DB266">
        <v>1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9</v>
      </c>
      <c r="DJ266">
        <v>19</v>
      </c>
      <c r="DK266">
        <v>73</v>
      </c>
      <c r="DL266">
        <v>7</v>
      </c>
      <c r="DM266">
        <v>4</v>
      </c>
      <c r="DN266">
        <v>3</v>
      </c>
      <c r="DO266">
        <v>0</v>
      </c>
      <c r="DP266">
        <v>59</v>
      </c>
      <c r="DQ266">
        <v>0</v>
      </c>
      <c r="DR266">
        <v>0</v>
      </c>
      <c r="DS266">
        <v>0</v>
      </c>
      <c r="DT266">
        <v>0</v>
      </c>
      <c r="DU266">
        <v>0</v>
      </c>
      <c r="DV266">
        <v>73</v>
      </c>
      <c r="DW266">
        <v>231</v>
      </c>
      <c r="DX266">
        <v>8</v>
      </c>
      <c r="DY266">
        <v>2</v>
      </c>
      <c r="DZ266">
        <v>1</v>
      </c>
      <c r="EA266">
        <v>220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0</v>
      </c>
      <c r="EH266">
        <v>231</v>
      </c>
      <c r="EI266">
        <v>1</v>
      </c>
      <c r="EJ266">
        <v>0</v>
      </c>
      <c r="EK266">
        <v>0</v>
      </c>
      <c r="EL266">
        <v>0</v>
      </c>
      <c r="EM266">
        <v>1</v>
      </c>
      <c r="EN266">
        <v>0</v>
      </c>
      <c r="EO266">
        <v>0</v>
      </c>
      <c r="EP266">
        <v>0</v>
      </c>
      <c r="EQ266">
        <v>0</v>
      </c>
      <c r="ER266">
        <v>0</v>
      </c>
      <c r="ES266">
        <v>0</v>
      </c>
      <c r="ET266">
        <v>1</v>
      </c>
    </row>
    <row r="267" spans="1:150" ht="12.75">
      <c r="A267">
        <v>262</v>
      </c>
      <c r="B267" t="str">
        <f t="shared" si="46"/>
        <v>066201</v>
      </c>
      <c r="C267" t="str">
        <f t="shared" si="47"/>
        <v>m. Chełm</v>
      </c>
      <c r="D267" t="str">
        <f t="shared" si="48"/>
        <v>Chełm</v>
      </c>
      <c r="E267" t="str">
        <f t="shared" si="49"/>
        <v>lubelskie</v>
      </c>
      <c r="F267">
        <v>31</v>
      </c>
      <c r="G267" t="str">
        <f>"Szkoła Podstawowa Nr 11, ul. Wolności 20, 22-100 Chełm"</f>
        <v>Szkoła Podstawowa Nr 11, ul. Wolności 20, 22-100 Chełm</v>
      </c>
      <c r="H267">
        <v>1824</v>
      </c>
      <c r="I267">
        <v>1824</v>
      </c>
      <c r="J267">
        <v>0</v>
      </c>
      <c r="K267">
        <v>1300</v>
      </c>
      <c r="L267">
        <v>797</v>
      </c>
      <c r="M267">
        <v>503</v>
      </c>
      <c r="N267">
        <v>503</v>
      </c>
      <c r="O267">
        <v>0</v>
      </c>
      <c r="P267">
        <v>0</v>
      </c>
      <c r="Q267">
        <v>1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503</v>
      </c>
      <c r="Z267">
        <v>0</v>
      </c>
      <c r="AA267">
        <v>0</v>
      </c>
      <c r="AB267">
        <v>503</v>
      </c>
      <c r="AC267">
        <v>7</v>
      </c>
      <c r="AD267">
        <v>496</v>
      </c>
      <c r="AE267">
        <v>5</v>
      </c>
      <c r="AF267">
        <v>2</v>
      </c>
      <c r="AG267">
        <v>1</v>
      </c>
      <c r="AH267">
        <v>1</v>
      </c>
      <c r="AI267">
        <v>0</v>
      </c>
      <c r="AJ267">
        <v>0</v>
      </c>
      <c r="AK267">
        <v>0</v>
      </c>
      <c r="AL267">
        <v>1</v>
      </c>
      <c r="AM267">
        <v>0</v>
      </c>
      <c r="AN267">
        <v>0</v>
      </c>
      <c r="AO267">
        <v>0</v>
      </c>
      <c r="AP267">
        <v>5</v>
      </c>
      <c r="AQ267">
        <v>2</v>
      </c>
      <c r="AR267">
        <v>2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2</v>
      </c>
      <c r="BC267">
        <v>23</v>
      </c>
      <c r="BD267">
        <v>12</v>
      </c>
      <c r="BE267">
        <v>2</v>
      </c>
      <c r="BF267">
        <v>1</v>
      </c>
      <c r="BG267">
        <v>0</v>
      </c>
      <c r="BH267">
        <v>7</v>
      </c>
      <c r="BI267">
        <v>0</v>
      </c>
      <c r="BJ267">
        <v>1</v>
      </c>
      <c r="BK267">
        <v>0</v>
      </c>
      <c r="BL267">
        <v>0</v>
      </c>
      <c r="BM267">
        <v>0</v>
      </c>
      <c r="BN267">
        <v>23</v>
      </c>
      <c r="BO267">
        <v>144</v>
      </c>
      <c r="BP267">
        <v>35</v>
      </c>
      <c r="BQ267">
        <v>77</v>
      </c>
      <c r="BR267">
        <v>6</v>
      </c>
      <c r="BS267">
        <v>22</v>
      </c>
      <c r="BT267">
        <v>1</v>
      </c>
      <c r="BU267">
        <v>0</v>
      </c>
      <c r="BV267">
        <v>0</v>
      </c>
      <c r="BW267">
        <v>2</v>
      </c>
      <c r="BX267">
        <v>1</v>
      </c>
      <c r="BY267">
        <v>0</v>
      </c>
      <c r="BZ267">
        <v>144</v>
      </c>
      <c r="CA267">
        <v>10</v>
      </c>
      <c r="CB267">
        <v>6</v>
      </c>
      <c r="CC267">
        <v>1</v>
      </c>
      <c r="CD267">
        <v>0</v>
      </c>
      <c r="CE267">
        <v>0</v>
      </c>
      <c r="CF267">
        <v>0</v>
      </c>
      <c r="CG267">
        <v>2</v>
      </c>
      <c r="CH267">
        <v>0</v>
      </c>
      <c r="CI267">
        <v>0</v>
      </c>
      <c r="CJ267">
        <v>1</v>
      </c>
      <c r="CK267">
        <v>0</v>
      </c>
      <c r="CL267">
        <v>10</v>
      </c>
      <c r="CM267">
        <v>5</v>
      </c>
      <c r="CN267">
        <v>2</v>
      </c>
      <c r="CO267">
        <v>0</v>
      </c>
      <c r="CP267">
        <v>0</v>
      </c>
      <c r="CQ267">
        <v>0</v>
      </c>
      <c r="CR267">
        <v>2</v>
      </c>
      <c r="CS267">
        <v>0</v>
      </c>
      <c r="CT267">
        <v>0</v>
      </c>
      <c r="CU267">
        <v>0</v>
      </c>
      <c r="CV267">
        <v>0</v>
      </c>
      <c r="CW267">
        <v>1</v>
      </c>
      <c r="CX267">
        <v>5</v>
      </c>
      <c r="CY267">
        <v>16</v>
      </c>
      <c r="CZ267">
        <v>6</v>
      </c>
      <c r="DA267">
        <v>2</v>
      </c>
      <c r="DB267">
        <v>1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1</v>
      </c>
      <c r="DI267">
        <v>6</v>
      </c>
      <c r="DJ267">
        <v>16</v>
      </c>
      <c r="DK267">
        <v>97</v>
      </c>
      <c r="DL267">
        <v>16</v>
      </c>
      <c r="DM267">
        <v>5</v>
      </c>
      <c r="DN267">
        <v>0</v>
      </c>
      <c r="DO267">
        <v>0</v>
      </c>
      <c r="DP267">
        <v>75</v>
      </c>
      <c r="DQ267">
        <v>0</v>
      </c>
      <c r="DR267">
        <v>0</v>
      </c>
      <c r="DS267">
        <v>0</v>
      </c>
      <c r="DT267">
        <v>0</v>
      </c>
      <c r="DU267">
        <v>1</v>
      </c>
      <c r="DV267">
        <v>97</v>
      </c>
      <c r="DW267">
        <v>194</v>
      </c>
      <c r="DX267">
        <v>3</v>
      </c>
      <c r="DY267">
        <v>3</v>
      </c>
      <c r="DZ267">
        <v>1</v>
      </c>
      <c r="EA267">
        <v>187</v>
      </c>
      <c r="EB267">
        <v>0</v>
      </c>
      <c r="EC267">
        <v>0</v>
      </c>
      <c r="ED267">
        <v>0</v>
      </c>
      <c r="EE267">
        <v>0</v>
      </c>
      <c r="EF267">
        <v>0</v>
      </c>
      <c r="EG267">
        <v>0</v>
      </c>
      <c r="EH267">
        <v>194</v>
      </c>
      <c r="EI267">
        <v>0</v>
      </c>
      <c r="EJ267">
        <v>0</v>
      </c>
      <c r="EK267">
        <v>0</v>
      </c>
      <c r="EL267">
        <v>0</v>
      </c>
      <c r="EM267">
        <v>0</v>
      </c>
      <c r="EN267">
        <v>0</v>
      </c>
      <c r="EO267">
        <v>0</v>
      </c>
      <c r="EP267">
        <v>0</v>
      </c>
      <c r="EQ267">
        <v>0</v>
      </c>
      <c r="ER267">
        <v>0</v>
      </c>
      <c r="ES267">
        <v>0</v>
      </c>
      <c r="ET267">
        <v>0</v>
      </c>
    </row>
    <row r="268" spans="1:150" ht="12.75">
      <c r="A268">
        <v>263</v>
      </c>
      <c r="B268" t="str">
        <f t="shared" si="46"/>
        <v>066201</v>
      </c>
      <c r="C268" t="str">
        <f t="shared" si="47"/>
        <v>m. Chełm</v>
      </c>
      <c r="D268" t="str">
        <f t="shared" si="48"/>
        <v>Chełm</v>
      </c>
      <c r="E268" t="str">
        <f t="shared" si="49"/>
        <v>lubelskie</v>
      </c>
      <c r="F268">
        <v>32</v>
      </c>
      <c r="G268" t="str">
        <f>"Zespół Szkół Ogólnokształcących Nr 8, ul. Połaniecka 10, 22-100 Chełm"</f>
        <v>Zespół Szkół Ogólnokształcących Nr 8, ul. Połaniecka 10, 22-100 Chełm</v>
      </c>
      <c r="H268">
        <v>1572</v>
      </c>
      <c r="I268">
        <v>1572</v>
      </c>
      <c r="J268">
        <v>0</v>
      </c>
      <c r="K268">
        <v>1110</v>
      </c>
      <c r="L268">
        <v>646</v>
      </c>
      <c r="M268">
        <v>464</v>
      </c>
      <c r="N268">
        <v>464</v>
      </c>
      <c r="O268">
        <v>0</v>
      </c>
      <c r="P268">
        <v>0</v>
      </c>
      <c r="Q268">
        <v>1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464</v>
      </c>
      <c r="Z268">
        <v>0</v>
      </c>
      <c r="AA268">
        <v>0</v>
      </c>
      <c r="AB268">
        <v>464</v>
      </c>
      <c r="AC268">
        <v>9</v>
      </c>
      <c r="AD268">
        <v>455</v>
      </c>
      <c r="AE268">
        <v>9</v>
      </c>
      <c r="AF268">
        <v>2</v>
      </c>
      <c r="AG268">
        <v>1</v>
      </c>
      <c r="AH268">
        <v>0</v>
      </c>
      <c r="AI268">
        <v>1</v>
      </c>
      <c r="AJ268">
        <v>0</v>
      </c>
      <c r="AK268">
        <v>0</v>
      </c>
      <c r="AL268">
        <v>1</v>
      </c>
      <c r="AM268">
        <v>3</v>
      </c>
      <c r="AN268">
        <v>0</v>
      </c>
      <c r="AO268">
        <v>1</v>
      </c>
      <c r="AP268">
        <v>9</v>
      </c>
      <c r="AQ268">
        <v>7</v>
      </c>
      <c r="AR268">
        <v>6</v>
      </c>
      <c r="AS268">
        <v>0</v>
      </c>
      <c r="AT268">
        <v>1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7</v>
      </c>
      <c r="BC268">
        <v>28</v>
      </c>
      <c r="BD268">
        <v>12</v>
      </c>
      <c r="BE268">
        <v>0</v>
      </c>
      <c r="BF268">
        <v>0</v>
      </c>
      <c r="BG268">
        <v>0</v>
      </c>
      <c r="BH268">
        <v>13</v>
      </c>
      <c r="BI268">
        <v>0</v>
      </c>
      <c r="BJ268">
        <v>1</v>
      </c>
      <c r="BK268">
        <v>0</v>
      </c>
      <c r="BL268">
        <v>2</v>
      </c>
      <c r="BM268">
        <v>0</v>
      </c>
      <c r="BN268">
        <v>28</v>
      </c>
      <c r="BO268">
        <v>106</v>
      </c>
      <c r="BP268">
        <v>27</v>
      </c>
      <c r="BQ268">
        <v>57</v>
      </c>
      <c r="BR268">
        <v>3</v>
      </c>
      <c r="BS268">
        <v>13</v>
      </c>
      <c r="BT268">
        <v>0</v>
      </c>
      <c r="BU268">
        <v>0</v>
      </c>
      <c r="BV268">
        <v>1</v>
      </c>
      <c r="BW268">
        <v>2</v>
      </c>
      <c r="BX268">
        <v>2</v>
      </c>
      <c r="BY268">
        <v>1</v>
      </c>
      <c r="BZ268">
        <v>106</v>
      </c>
      <c r="CA268">
        <v>17</v>
      </c>
      <c r="CB268">
        <v>14</v>
      </c>
      <c r="CC268">
        <v>1</v>
      </c>
      <c r="CD268">
        <v>0</v>
      </c>
      <c r="CE268">
        <v>0</v>
      </c>
      <c r="CF268">
        <v>2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17</v>
      </c>
      <c r="CM268">
        <v>3</v>
      </c>
      <c r="CN268">
        <v>3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3</v>
      </c>
      <c r="CY268">
        <v>13</v>
      </c>
      <c r="CZ268">
        <v>6</v>
      </c>
      <c r="DA268">
        <v>2</v>
      </c>
      <c r="DB268">
        <v>0</v>
      </c>
      <c r="DC268">
        <v>0</v>
      </c>
      <c r="DD268">
        <v>2</v>
      </c>
      <c r="DE268">
        <v>0</v>
      </c>
      <c r="DF268">
        <v>0</v>
      </c>
      <c r="DG268">
        <v>0</v>
      </c>
      <c r="DH268">
        <v>0</v>
      </c>
      <c r="DI268">
        <v>3</v>
      </c>
      <c r="DJ268">
        <v>13</v>
      </c>
      <c r="DK268">
        <v>83</v>
      </c>
      <c r="DL268">
        <v>17</v>
      </c>
      <c r="DM268">
        <v>3</v>
      </c>
      <c r="DN268">
        <v>0</v>
      </c>
      <c r="DO268">
        <v>1</v>
      </c>
      <c r="DP268">
        <v>59</v>
      </c>
      <c r="DQ268">
        <v>0</v>
      </c>
      <c r="DR268">
        <v>1</v>
      </c>
      <c r="DS268">
        <v>0</v>
      </c>
      <c r="DT268">
        <v>1</v>
      </c>
      <c r="DU268">
        <v>1</v>
      </c>
      <c r="DV268">
        <v>83</v>
      </c>
      <c r="DW268">
        <v>189</v>
      </c>
      <c r="DX268">
        <v>5</v>
      </c>
      <c r="DY268">
        <v>4</v>
      </c>
      <c r="DZ268">
        <v>4</v>
      </c>
      <c r="EA268">
        <v>176</v>
      </c>
      <c r="EB268">
        <v>0</v>
      </c>
      <c r="EC268">
        <v>0</v>
      </c>
      <c r="ED268">
        <v>0</v>
      </c>
      <c r="EE268">
        <v>0</v>
      </c>
      <c r="EF268">
        <v>0</v>
      </c>
      <c r="EG268">
        <v>0</v>
      </c>
      <c r="EH268">
        <v>189</v>
      </c>
      <c r="EI268">
        <v>0</v>
      </c>
      <c r="EJ268">
        <v>0</v>
      </c>
      <c r="EK268">
        <v>0</v>
      </c>
      <c r="EL268">
        <v>0</v>
      </c>
      <c r="EM268">
        <v>0</v>
      </c>
      <c r="EN268">
        <v>0</v>
      </c>
      <c r="EO268">
        <v>0</v>
      </c>
      <c r="EP268">
        <v>0</v>
      </c>
      <c r="EQ268">
        <v>0</v>
      </c>
      <c r="ER268">
        <v>0</v>
      </c>
      <c r="ES268">
        <v>0</v>
      </c>
      <c r="ET268">
        <v>0</v>
      </c>
    </row>
    <row r="269" spans="1:150" ht="12.75">
      <c r="A269">
        <v>264</v>
      </c>
      <c r="B269" t="str">
        <f t="shared" si="46"/>
        <v>066201</v>
      </c>
      <c r="C269" t="str">
        <f t="shared" si="47"/>
        <v>m. Chełm</v>
      </c>
      <c r="D269" t="str">
        <f t="shared" si="48"/>
        <v>Chełm</v>
      </c>
      <c r="E269" t="str">
        <f t="shared" si="49"/>
        <v>lubelskie</v>
      </c>
      <c r="F269">
        <v>33</v>
      </c>
      <c r="G269" t="s">
        <v>42</v>
      </c>
      <c r="H269">
        <v>1660</v>
      </c>
      <c r="I269">
        <v>1660</v>
      </c>
      <c r="J269">
        <v>0</v>
      </c>
      <c r="K269">
        <v>1170</v>
      </c>
      <c r="L269">
        <v>675</v>
      </c>
      <c r="M269">
        <v>495</v>
      </c>
      <c r="N269">
        <v>495</v>
      </c>
      <c r="O269">
        <v>0</v>
      </c>
      <c r="P269">
        <v>0</v>
      </c>
      <c r="Q269">
        <v>2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495</v>
      </c>
      <c r="Z269">
        <v>0</v>
      </c>
      <c r="AA269">
        <v>0</v>
      </c>
      <c r="AB269">
        <v>495</v>
      </c>
      <c r="AC269">
        <v>14</v>
      </c>
      <c r="AD269">
        <v>481</v>
      </c>
      <c r="AE269">
        <v>8</v>
      </c>
      <c r="AF269">
        <v>4</v>
      </c>
      <c r="AG269">
        <v>0</v>
      </c>
      <c r="AH269">
        <v>0</v>
      </c>
      <c r="AI269">
        <v>1</v>
      </c>
      <c r="AJ269">
        <v>0</v>
      </c>
      <c r="AK269">
        <v>0</v>
      </c>
      <c r="AL269">
        <v>0</v>
      </c>
      <c r="AM269">
        <v>0</v>
      </c>
      <c r="AN269">
        <v>1</v>
      </c>
      <c r="AO269">
        <v>2</v>
      </c>
      <c r="AP269">
        <v>8</v>
      </c>
      <c r="AQ269">
        <v>5</v>
      </c>
      <c r="AR269">
        <v>4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1</v>
      </c>
      <c r="AY269">
        <v>0</v>
      </c>
      <c r="AZ269">
        <v>0</v>
      </c>
      <c r="BA269">
        <v>0</v>
      </c>
      <c r="BB269">
        <v>5</v>
      </c>
      <c r="BC269">
        <v>19</v>
      </c>
      <c r="BD269">
        <v>7</v>
      </c>
      <c r="BE269">
        <v>0</v>
      </c>
      <c r="BF269">
        <v>1</v>
      </c>
      <c r="BG269">
        <v>0</v>
      </c>
      <c r="BH269">
        <v>9</v>
      </c>
      <c r="BI269">
        <v>0</v>
      </c>
      <c r="BJ269">
        <v>0</v>
      </c>
      <c r="BK269">
        <v>0</v>
      </c>
      <c r="BL269">
        <v>2</v>
      </c>
      <c r="BM269">
        <v>0</v>
      </c>
      <c r="BN269">
        <v>19</v>
      </c>
      <c r="BO269">
        <v>101</v>
      </c>
      <c r="BP269">
        <v>28</v>
      </c>
      <c r="BQ269">
        <v>46</v>
      </c>
      <c r="BR269">
        <v>1</v>
      </c>
      <c r="BS269">
        <v>23</v>
      </c>
      <c r="BT269">
        <v>0</v>
      </c>
      <c r="BU269">
        <v>1</v>
      </c>
      <c r="BV269">
        <v>1</v>
      </c>
      <c r="BW269">
        <v>0</v>
      </c>
      <c r="BX269">
        <v>1</v>
      </c>
      <c r="BY269">
        <v>0</v>
      </c>
      <c r="BZ269">
        <v>101</v>
      </c>
      <c r="CA269">
        <v>6</v>
      </c>
      <c r="CB269">
        <v>6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6</v>
      </c>
      <c r="CM269">
        <v>11</v>
      </c>
      <c r="CN269">
        <v>9</v>
      </c>
      <c r="CO269">
        <v>2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11</v>
      </c>
      <c r="CY269">
        <v>29</v>
      </c>
      <c r="CZ269">
        <v>18</v>
      </c>
      <c r="DA269">
        <v>2</v>
      </c>
      <c r="DB269">
        <v>0</v>
      </c>
      <c r="DC269">
        <v>1</v>
      </c>
      <c r="DD269">
        <v>0</v>
      </c>
      <c r="DE269">
        <v>1</v>
      </c>
      <c r="DF269">
        <v>0</v>
      </c>
      <c r="DG269">
        <v>0</v>
      </c>
      <c r="DH269">
        <v>0</v>
      </c>
      <c r="DI269">
        <v>7</v>
      </c>
      <c r="DJ269">
        <v>29</v>
      </c>
      <c r="DK269">
        <v>80</v>
      </c>
      <c r="DL269">
        <v>21</v>
      </c>
      <c r="DM269">
        <v>3</v>
      </c>
      <c r="DN269">
        <v>0</v>
      </c>
      <c r="DO269">
        <v>1</v>
      </c>
      <c r="DP269">
        <v>54</v>
      </c>
      <c r="DQ269">
        <v>0</v>
      </c>
      <c r="DR269">
        <v>0</v>
      </c>
      <c r="DS269">
        <v>0</v>
      </c>
      <c r="DT269">
        <v>0</v>
      </c>
      <c r="DU269">
        <v>1</v>
      </c>
      <c r="DV269">
        <v>80</v>
      </c>
      <c r="DW269">
        <v>221</v>
      </c>
      <c r="DX269">
        <v>2</v>
      </c>
      <c r="DY269">
        <v>8</v>
      </c>
      <c r="DZ269">
        <v>2</v>
      </c>
      <c r="EA269">
        <v>209</v>
      </c>
      <c r="EB269">
        <v>0</v>
      </c>
      <c r="EC269">
        <v>0</v>
      </c>
      <c r="ED269">
        <v>0</v>
      </c>
      <c r="EE269">
        <v>0</v>
      </c>
      <c r="EF269">
        <v>0</v>
      </c>
      <c r="EG269">
        <v>0</v>
      </c>
      <c r="EH269">
        <v>221</v>
      </c>
      <c r="EI269">
        <v>1</v>
      </c>
      <c r="EJ269">
        <v>1</v>
      </c>
      <c r="EK269">
        <v>0</v>
      </c>
      <c r="EL269">
        <v>0</v>
      </c>
      <c r="EM269">
        <v>0</v>
      </c>
      <c r="EN269">
        <v>0</v>
      </c>
      <c r="EO269">
        <v>0</v>
      </c>
      <c r="EP269">
        <v>0</v>
      </c>
      <c r="EQ269">
        <v>0</v>
      </c>
      <c r="ER269">
        <v>0</v>
      </c>
      <c r="ES269">
        <v>0</v>
      </c>
      <c r="ET269">
        <v>1</v>
      </c>
    </row>
    <row r="270" spans="1:150" ht="12.75">
      <c r="A270">
        <v>265</v>
      </c>
      <c r="B270" t="str">
        <f t="shared" si="46"/>
        <v>066201</v>
      </c>
      <c r="C270" t="str">
        <f t="shared" si="47"/>
        <v>m. Chełm</v>
      </c>
      <c r="D270" t="str">
        <f t="shared" si="48"/>
        <v>Chełm</v>
      </c>
      <c r="E270" t="str">
        <f t="shared" si="49"/>
        <v>lubelskie</v>
      </c>
      <c r="F270">
        <v>34</v>
      </c>
      <c r="G270" t="str">
        <f>"Przedszkole Miejskie Nr 8, ul. Mikołaja Reja 54, 22-100 Chełm"</f>
        <v>Przedszkole Miejskie Nr 8, ul. Mikołaja Reja 54, 22-100 Chełm</v>
      </c>
      <c r="H270">
        <v>776</v>
      </c>
      <c r="I270">
        <v>776</v>
      </c>
      <c r="J270">
        <v>0</v>
      </c>
      <c r="K270">
        <v>549</v>
      </c>
      <c r="L270">
        <v>405</v>
      </c>
      <c r="M270">
        <v>144</v>
      </c>
      <c r="N270">
        <v>144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144</v>
      </c>
      <c r="Z270">
        <v>0</v>
      </c>
      <c r="AA270">
        <v>0</v>
      </c>
      <c r="AB270">
        <v>144</v>
      </c>
      <c r="AC270">
        <v>1</v>
      </c>
      <c r="AD270">
        <v>143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1</v>
      </c>
      <c r="AR270">
        <v>0</v>
      </c>
      <c r="AS270">
        <v>0</v>
      </c>
      <c r="AT270">
        <v>1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1</v>
      </c>
      <c r="BC270">
        <v>14</v>
      </c>
      <c r="BD270">
        <v>5</v>
      </c>
      <c r="BE270">
        <v>0</v>
      </c>
      <c r="BF270">
        <v>1</v>
      </c>
      <c r="BG270">
        <v>0</v>
      </c>
      <c r="BH270">
        <v>5</v>
      </c>
      <c r="BI270">
        <v>0</v>
      </c>
      <c r="BJ270">
        <v>0</v>
      </c>
      <c r="BK270">
        <v>1</v>
      </c>
      <c r="BL270">
        <v>1</v>
      </c>
      <c r="BM270">
        <v>1</v>
      </c>
      <c r="BN270">
        <v>14</v>
      </c>
      <c r="BO270">
        <v>42</v>
      </c>
      <c r="BP270">
        <v>8</v>
      </c>
      <c r="BQ270">
        <v>21</v>
      </c>
      <c r="BR270">
        <v>0</v>
      </c>
      <c r="BS270">
        <v>12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1</v>
      </c>
      <c r="BZ270">
        <v>42</v>
      </c>
      <c r="CA270">
        <v>10</v>
      </c>
      <c r="CB270">
        <v>6</v>
      </c>
      <c r="CC270">
        <v>0</v>
      </c>
      <c r="CD270">
        <v>0</v>
      </c>
      <c r="CE270">
        <v>2</v>
      </c>
      <c r="CF270">
        <v>0</v>
      </c>
      <c r="CG270">
        <v>1</v>
      </c>
      <c r="CH270">
        <v>1</v>
      </c>
      <c r="CI270">
        <v>0</v>
      </c>
      <c r="CJ270">
        <v>0</v>
      </c>
      <c r="CK270">
        <v>0</v>
      </c>
      <c r="CL270">
        <v>10</v>
      </c>
      <c r="CM270">
        <v>2</v>
      </c>
      <c r="CN270">
        <v>1</v>
      </c>
      <c r="CO270">
        <v>0</v>
      </c>
      <c r="CP270">
        <v>0</v>
      </c>
      <c r="CQ270">
        <v>0</v>
      </c>
      <c r="CR270">
        <v>1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2</v>
      </c>
      <c r="CY270">
        <v>15</v>
      </c>
      <c r="CZ270">
        <v>6</v>
      </c>
      <c r="DA270">
        <v>0</v>
      </c>
      <c r="DB270">
        <v>2</v>
      </c>
      <c r="DC270">
        <v>0</v>
      </c>
      <c r="DD270">
        <v>0</v>
      </c>
      <c r="DE270">
        <v>0</v>
      </c>
      <c r="DF270">
        <v>1</v>
      </c>
      <c r="DG270">
        <v>1</v>
      </c>
      <c r="DH270">
        <v>0</v>
      </c>
      <c r="DI270">
        <v>5</v>
      </c>
      <c r="DJ270">
        <v>15</v>
      </c>
      <c r="DK270">
        <v>12</v>
      </c>
      <c r="DL270">
        <v>3</v>
      </c>
      <c r="DM270">
        <v>0</v>
      </c>
      <c r="DN270">
        <v>1</v>
      </c>
      <c r="DO270">
        <v>0</v>
      </c>
      <c r="DP270">
        <v>8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12</v>
      </c>
      <c r="DW270">
        <v>46</v>
      </c>
      <c r="DX270">
        <v>1</v>
      </c>
      <c r="DY270">
        <v>3</v>
      </c>
      <c r="DZ270">
        <v>0</v>
      </c>
      <c r="EA270">
        <v>42</v>
      </c>
      <c r="EB270">
        <v>0</v>
      </c>
      <c r="EC270">
        <v>0</v>
      </c>
      <c r="ED270">
        <v>0</v>
      </c>
      <c r="EE270">
        <v>0</v>
      </c>
      <c r="EF270">
        <v>0</v>
      </c>
      <c r="EG270">
        <v>0</v>
      </c>
      <c r="EH270">
        <v>46</v>
      </c>
      <c r="EI270">
        <v>1</v>
      </c>
      <c r="EJ270">
        <v>0</v>
      </c>
      <c r="EK270">
        <v>0</v>
      </c>
      <c r="EL270">
        <v>0</v>
      </c>
      <c r="EM270">
        <v>0</v>
      </c>
      <c r="EN270">
        <v>1</v>
      </c>
      <c r="EO270">
        <v>0</v>
      </c>
      <c r="EP270">
        <v>0</v>
      </c>
      <c r="EQ270">
        <v>0</v>
      </c>
      <c r="ER270">
        <v>0</v>
      </c>
      <c r="ES270">
        <v>0</v>
      </c>
      <c r="ET270">
        <v>1</v>
      </c>
    </row>
    <row r="271" spans="1:150" ht="12.75">
      <c r="A271">
        <v>266</v>
      </c>
      <c r="B271" t="str">
        <f t="shared" si="46"/>
        <v>066201</v>
      </c>
      <c r="C271" t="str">
        <f t="shared" si="47"/>
        <v>m. Chełm</v>
      </c>
      <c r="D271" t="str">
        <f t="shared" si="48"/>
        <v>Chełm</v>
      </c>
      <c r="E271" t="str">
        <f t="shared" si="49"/>
        <v>lubelskie</v>
      </c>
      <c r="F271">
        <v>35</v>
      </c>
      <c r="G271" t="str">
        <f>"Zakład Karny, Kolejowa 112, 22-100 Chełm"</f>
        <v>Zakład Karny, Kolejowa 112, 22-100 Chełm</v>
      </c>
      <c r="H271">
        <v>666</v>
      </c>
      <c r="I271">
        <v>666</v>
      </c>
      <c r="J271">
        <v>0</v>
      </c>
      <c r="K271">
        <v>767</v>
      </c>
      <c r="L271">
        <v>611</v>
      </c>
      <c r="M271">
        <v>156</v>
      </c>
      <c r="N271">
        <v>156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156</v>
      </c>
      <c r="Z271">
        <v>0</v>
      </c>
      <c r="AA271">
        <v>0</v>
      </c>
      <c r="AB271">
        <v>156</v>
      </c>
      <c r="AC271">
        <v>29</v>
      </c>
      <c r="AD271">
        <v>127</v>
      </c>
      <c r="AE271">
        <v>1</v>
      </c>
      <c r="AF271">
        <v>0</v>
      </c>
      <c r="AG271">
        <v>1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1</v>
      </c>
      <c r="AQ271">
        <v>2</v>
      </c>
      <c r="AR271">
        <v>1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1</v>
      </c>
      <c r="BA271">
        <v>0</v>
      </c>
      <c r="BB271">
        <v>2</v>
      </c>
      <c r="BC271">
        <v>5</v>
      </c>
      <c r="BD271">
        <v>0</v>
      </c>
      <c r="BE271">
        <v>1</v>
      </c>
      <c r="BF271">
        <v>1</v>
      </c>
      <c r="BG271">
        <v>0</v>
      </c>
      <c r="BH271">
        <v>0</v>
      </c>
      <c r="BI271">
        <v>2</v>
      </c>
      <c r="BJ271">
        <v>1</v>
      </c>
      <c r="BK271">
        <v>0</v>
      </c>
      <c r="BL271">
        <v>0</v>
      </c>
      <c r="BM271">
        <v>0</v>
      </c>
      <c r="BN271">
        <v>5</v>
      </c>
      <c r="BO271">
        <v>6</v>
      </c>
      <c r="BP271">
        <v>1</v>
      </c>
      <c r="BQ271">
        <v>0</v>
      </c>
      <c r="BR271">
        <v>3</v>
      </c>
      <c r="BS271">
        <v>1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1</v>
      </c>
      <c r="BZ271">
        <v>6</v>
      </c>
      <c r="CA271">
        <v>69</v>
      </c>
      <c r="CB271">
        <v>44</v>
      </c>
      <c r="CC271">
        <v>1</v>
      </c>
      <c r="CD271">
        <v>1</v>
      </c>
      <c r="CE271">
        <v>3</v>
      </c>
      <c r="CF271">
        <v>8</v>
      </c>
      <c r="CG271">
        <v>0</v>
      </c>
      <c r="CH271">
        <v>1</v>
      </c>
      <c r="CI271">
        <v>0</v>
      </c>
      <c r="CJ271">
        <v>2</v>
      </c>
      <c r="CK271">
        <v>9</v>
      </c>
      <c r="CL271">
        <v>69</v>
      </c>
      <c r="CM271">
        <v>2</v>
      </c>
      <c r="CN271">
        <v>0</v>
      </c>
      <c r="CO271">
        <v>1</v>
      </c>
      <c r="CP271">
        <v>0</v>
      </c>
      <c r="CQ271">
        <v>0</v>
      </c>
      <c r="CR271">
        <v>1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2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34</v>
      </c>
      <c r="DL271">
        <v>8</v>
      </c>
      <c r="DM271">
        <v>7</v>
      </c>
      <c r="DN271">
        <v>1</v>
      </c>
      <c r="DO271">
        <v>0</v>
      </c>
      <c r="DP271">
        <v>12</v>
      </c>
      <c r="DQ271">
        <v>3</v>
      </c>
      <c r="DR271">
        <v>0</v>
      </c>
      <c r="DS271">
        <v>0</v>
      </c>
      <c r="DT271">
        <v>0</v>
      </c>
      <c r="DU271">
        <v>3</v>
      </c>
      <c r="DV271">
        <v>34</v>
      </c>
      <c r="DW271">
        <v>6</v>
      </c>
      <c r="DX271">
        <v>2</v>
      </c>
      <c r="DY271">
        <v>2</v>
      </c>
      <c r="DZ271">
        <v>1</v>
      </c>
      <c r="EA271">
        <v>1</v>
      </c>
      <c r="EB271">
        <v>0</v>
      </c>
      <c r="EC271">
        <v>0</v>
      </c>
      <c r="ED271">
        <v>0</v>
      </c>
      <c r="EE271">
        <v>0</v>
      </c>
      <c r="EF271">
        <v>0</v>
      </c>
      <c r="EG271">
        <v>0</v>
      </c>
      <c r="EH271">
        <v>6</v>
      </c>
      <c r="EI271">
        <v>2</v>
      </c>
      <c r="EJ271">
        <v>0</v>
      </c>
      <c r="EK271">
        <v>0</v>
      </c>
      <c r="EL271">
        <v>1</v>
      </c>
      <c r="EM271">
        <v>0</v>
      </c>
      <c r="EN271">
        <v>0</v>
      </c>
      <c r="EO271">
        <v>0</v>
      </c>
      <c r="EP271">
        <v>0</v>
      </c>
      <c r="EQ271">
        <v>0</v>
      </c>
      <c r="ER271">
        <v>0</v>
      </c>
      <c r="ES271">
        <v>1</v>
      </c>
      <c r="ET271">
        <v>2</v>
      </c>
    </row>
    <row r="272" spans="1:150" ht="12.75">
      <c r="A272">
        <v>267</v>
      </c>
      <c r="B272" t="str">
        <f t="shared" si="46"/>
        <v>066201</v>
      </c>
      <c r="C272" t="str">
        <f t="shared" si="47"/>
        <v>m. Chełm</v>
      </c>
      <c r="D272" t="str">
        <f t="shared" si="48"/>
        <v>Chełm</v>
      </c>
      <c r="E272" t="str">
        <f t="shared" si="49"/>
        <v>lubelskie</v>
      </c>
      <c r="F272">
        <v>36</v>
      </c>
      <c r="G272" t="str">
        <f>"Samodzielny Publiczny Wojewódzki Szpital Specjalistyczny, Ceramiczna 1, 22-100 Chełm"</f>
        <v>Samodzielny Publiczny Wojewódzki Szpital Specjalistyczny, Ceramiczna 1, 22-100 Chełm</v>
      </c>
      <c r="H272">
        <v>410</v>
      </c>
      <c r="I272">
        <v>410</v>
      </c>
      <c r="J272">
        <v>0</v>
      </c>
      <c r="K272">
        <v>260</v>
      </c>
      <c r="L272">
        <v>201</v>
      </c>
      <c r="M272">
        <v>59</v>
      </c>
      <c r="N272">
        <v>59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59</v>
      </c>
      <c r="Z272">
        <v>0</v>
      </c>
      <c r="AA272">
        <v>0</v>
      </c>
      <c r="AB272">
        <v>59</v>
      </c>
      <c r="AC272">
        <v>3</v>
      </c>
      <c r="AD272">
        <v>56</v>
      </c>
      <c r="AE272">
        <v>1</v>
      </c>
      <c r="AF272">
        <v>0</v>
      </c>
      <c r="AG272">
        <v>0</v>
      </c>
      <c r="AH272">
        <v>0</v>
      </c>
      <c r="AI272">
        <v>0</v>
      </c>
      <c r="AJ272">
        <v>1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1</v>
      </c>
      <c r="AQ272">
        <v>1</v>
      </c>
      <c r="AR272">
        <v>0</v>
      </c>
      <c r="AS272">
        <v>0</v>
      </c>
      <c r="AT272">
        <v>0</v>
      </c>
      <c r="AU272">
        <v>1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1</v>
      </c>
      <c r="BC272">
        <v>3</v>
      </c>
      <c r="BD272">
        <v>2</v>
      </c>
      <c r="BE272">
        <v>0</v>
      </c>
      <c r="BF272">
        <v>0</v>
      </c>
      <c r="BG272">
        <v>0</v>
      </c>
      <c r="BH272">
        <v>0</v>
      </c>
      <c r="BI272">
        <v>1</v>
      </c>
      <c r="BJ272">
        <v>0</v>
      </c>
      <c r="BK272">
        <v>0</v>
      </c>
      <c r="BL272">
        <v>0</v>
      </c>
      <c r="BM272">
        <v>0</v>
      </c>
      <c r="BN272">
        <v>3</v>
      </c>
      <c r="BO272">
        <v>20</v>
      </c>
      <c r="BP272">
        <v>3</v>
      </c>
      <c r="BQ272">
        <v>5</v>
      </c>
      <c r="BR272">
        <v>2</v>
      </c>
      <c r="BS272">
        <v>5</v>
      </c>
      <c r="BT272">
        <v>3</v>
      </c>
      <c r="BU272">
        <v>0</v>
      </c>
      <c r="BV272">
        <v>0</v>
      </c>
      <c r="BW272">
        <v>2</v>
      </c>
      <c r="BX272">
        <v>0</v>
      </c>
      <c r="BY272">
        <v>0</v>
      </c>
      <c r="BZ272">
        <v>20</v>
      </c>
      <c r="CA272">
        <v>1</v>
      </c>
      <c r="CB272">
        <v>1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1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2</v>
      </c>
      <c r="CZ272">
        <v>0</v>
      </c>
      <c r="DA272">
        <v>1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1</v>
      </c>
      <c r="DJ272">
        <v>2</v>
      </c>
      <c r="DK272">
        <v>5</v>
      </c>
      <c r="DL272">
        <v>0</v>
      </c>
      <c r="DM272">
        <v>0</v>
      </c>
      <c r="DN272">
        <v>1</v>
      </c>
      <c r="DO272">
        <v>0</v>
      </c>
      <c r="DP272">
        <v>4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5</v>
      </c>
      <c r="DW272">
        <v>22</v>
      </c>
      <c r="DX272">
        <v>4</v>
      </c>
      <c r="DY272">
        <v>0</v>
      </c>
      <c r="DZ272">
        <v>1</v>
      </c>
      <c r="EA272">
        <v>17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22</v>
      </c>
      <c r="EI272">
        <v>1</v>
      </c>
      <c r="EJ272">
        <v>0</v>
      </c>
      <c r="EK272">
        <v>0</v>
      </c>
      <c r="EL272">
        <v>0</v>
      </c>
      <c r="EM272">
        <v>1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0</v>
      </c>
      <c r="ET272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Niemczyk</cp:lastModifiedBy>
  <dcterms:created xsi:type="dcterms:W3CDTF">2014-05-27T12:15:51Z</dcterms:created>
  <dcterms:modified xsi:type="dcterms:W3CDTF">2014-05-27T12:15:51Z</dcterms:modified>
  <cp:category/>
  <cp:version/>
  <cp:contentType/>
  <cp:contentStatus/>
</cp:coreProperties>
</file>